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ОРГАНИЗАЦИИ КР 2015\КРЫШИ\Конкурс СМР 29.09.2016\советская 46\советская 46\"/>
    </mc:Choice>
  </mc:AlternateContent>
  <bookViews>
    <workbookView xWindow="0" yWindow="0" windowWidth="23040" windowHeight="9396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'Лок.См.Расч.Баз.-Инд.Методом'!$14:$17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'Лок.См.Расч.Баз.-Инд.Методом'!$A:$N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37" i="5" l="1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6" i="5"/>
  <c r="AI146" i="5"/>
  <c r="L147" i="5"/>
  <c r="AI147" i="5"/>
  <c r="L148" i="5"/>
  <c r="AI148" i="5"/>
  <c r="L149" i="5"/>
  <c r="AI149" i="5"/>
  <c r="L150" i="5"/>
  <c r="AI150" i="5"/>
  <c r="L151" i="5"/>
  <c r="AI151" i="5"/>
  <c r="L152" i="5"/>
  <c r="AI152" i="5"/>
  <c r="L153" i="5"/>
  <c r="AI153" i="5"/>
  <c r="L154" i="5"/>
  <c r="AI154" i="5"/>
  <c r="L155" i="5"/>
  <c r="AI155" i="5"/>
  <c r="L156" i="5"/>
  <c r="AI156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63" i="5"/>
  <c r="AI163" i="5"/>
  <c r="L56" i="5"/>
  <c r="AI56" i="5"/>
  <c r="L57" i="5"/>
  <c r="AI57" i="5"/>
  <c r="L58" i="5"/>
  <c r="AI58" i="5"/>
  <c r="L59" i="5"/>
  <c r="AI59" i="5"/>
  <c r="L61" i="5"/>
  <c r="AI61" i="5"/>
  <c r="L62" i="5"/>
  <c r="AI62" i="5"/>
  <c r="L63" i="5"/>
  <c r="AI63" i="5"/>
  <c r="L64" i="5"/>
  <c r="AI64" i="5"/>
  <c r="L65" i="5"/>
  <c r="AI65" i="5"/>
  <c r="L67" i="5"/>
  <c r="AI67" i="5"/>
  <c r="L68" i="5"/>
  <c r="AI68" i="5"/>
  <c r="L69" i="5"/>
  <c r="AI69" i="5"/>
  <c r="L70" i="5"/>
  <c r="AI70" i="5"/>
  <c r="L71" i="5"/>
  <c r="AI71" i="5"/>
  <c r="L72" i="5"/>
  <c r="AI72" i="5"/>
  <c r="L73" i="5"/>
  <c r="AI73" i="5"/>
  <c r="L74" i="5"/>
  <c r="AI74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1" i="5"/>
  <c r="AI91" i="5"/>
  <c r="L92" i="5"/>
  <c r="AI92" i="5"/>
  <c r="L93" i="5"/>
  <c r="AI93" i="5"/>
  <c r="L94" i="5"/>
  <c r="AI94" i="5"/>
  <c r="L95" i="5"/>
  <c r="AI95" i="5"/>
  <c r="L96" i="5"/>
  <c r="AI96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123" i="5"/>
  <c r="AI123" i="5"/>
  <c r="L125" i="5"/>
  <c r="AI125" i="5"/>
  <c r="L126" i="5"/>
  <c r="AI126" i="5"/>
  <c r="L127" i="5"/>
  <c r="AI127" i="5"/>
  <c r="L128" i="5"/>
  <c r="AI128" i="5"/>
  <c r="L129" i="5"/>
  <c r="AI129" i="5"/>
  <c r="L130" i="5"/>
  <c r="AI130" i="5"/>
  <c r="L36" i="5"/>
  <c r="AI36" i="5"/>
  <c r="L37" i="5"/>
  <c r="AI37" i="5"/>
  <c r="L38" i="5"/>
  <c r="AI3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20" i="5"/>
  <c r="AI20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C146" i="5"/>
  <c r="C162" i="5"/>
  <c r="C151" i="5"/>
  <c r="C61" i="5"/>
  <c r="C82" i="5"/>
  <c r="C117" i="5"/>
  <c r="C79" i="5"/>
  <c r="C114" i="5"/>
  <c r="C42" i="5"/>
  <c r="C139" i="5"/>
  <c r="C156" i="5"/>
  <c r="C144" i="5"/>
  <c r="C161" i="5"/>
  <c r="C72" i="5"/>
  <c r="C88" i="5"/>
  <c r="C106" i="5"/>
  <c r="C123" i="5"/>
  <c r="C64" i="5"/>
  <c r="C81" i="5"/>
  <c r="C99" i="5"/>
  <c r="C116" i="5"/>
  <c r="C41" i="5"/>
  <c r="C44" i="5"/>
  <c r="C25" i="5"/>
  <c r="C86" i="5"/>
  <c r="C121" i="5"/>
  <c r="C75" i="5"/>
  <c r="C109" i="5"/>
  <c r="C38" i="5"/>
  <c r="C67" i="5"/>
  <c r="C43" i="5"/>
  <c r="C141" i="5"/>
  <c r="C158" i="5"/>
  <c r="C147" i="5"/>
  <c r="C56" i="5"/>
  <c r="C78" i="5"/>
  <c r="C108" i="5"/>
  <c r="C71" i="5"/>
  <c r="C105" i="5"/>
  <c r="C47" i="5"/>
  <c r="C26" i="5"/>
  <c r="C152" i="5"/>
  <c r="C140" i="5"/>
  <c r="C157" i="5"/>
  <c r="C68" i="5"/>
  <c r="C84" i="5"/>
  <c r="C102" i="5"/>
  <c r="C119" i="5"/>
  <c r="C59" i="5"/>
  <c r="C77" i="5"/>
  <c r="C94" i="5"/>
  <c r="C112" i="5"/>
  <c r="C37" i="5"/>
  <c r="C40" i="5"/>
  <c r="C21" i="5"/>
  <c r="C70" i="5"/>
  <c r="C113" i="5"/>
  <c r="C83" i="5"/>
  <c r="C46" i="5"/>
  <c r="C137" i="5"/>
  <c r="C154" i="5"/>
  <c r="C142" i="5"/>
  <c r="C159" i="5"/>
  <c r="C74" i="5"/>
  <c r="C100" i="5"/>
  <c r="C62" i="5"/>
  <c r="C96" i="5"/>
  <c r="C39" i="5"/>
  <c r="C23" i="5"/>
  <c r="C148" i="5"/>
  <c r="C163" i="5"/>
  <c r="C153" i="5"/>
  <c r="C63" i="5"/>
  <c r="C80" i="5"/>
  <c r="C98" i="5"/>
  <c r="C115" i="5"/>
  <c r="C129" i="5"/>
  <c r="C73" i="5"/>
  <c r="C89" i="5"/>
  <c r="C107" i="5"/>
  <c r="C125" i="5"/>
  <c r="C36" i="5"/>
  <c r="C22" i="5"/>
  <c r="C28" i="5"/>
  <c r="C104" i="5"/>
  <c r="C57" i="5"/>
  <c r="C92" i="5"/>
  <c r="C127" i="5"/>
  <c r="C24" i="5"/>
  <c r="C101" i="5"/>
  <c r="C27" i="5"/>
  <c r="C150" i="5"/>
  <c r="C138" i="5"/>
  <c r="C155" i="5"/>
  <c r="C65" i="5"/>
  <c r="C91" i="5"/>
  <c r="C130" i="5"/>
  <c r="C87" i="5"/>
  <c r="C122" i="5"/>
  <c r="C20" i="5"/>
  <c r="C143" i="5"/>
  <c r="C160" i="5"/>
  <c r="C149" i="5"/>
  <c r="C58" i="5"/>
  <c r="C76" i="5"/>
  <c r="C93" i="5"/>
  <c r="C110" i="5"/>
  <c r="C128" i="5"/>
  <c r="C69" i="5"/>
  <c r="C85" i="5"/>
  <c r="C103" i="5"/>
  <c r="C120" i="5"/>
  <c r="C45" i="5"/>
  <c r="C48" i="5"/>
  <c r="C29" i="5"/>
  <c r="C95" i="5"/>
  <c r="C126" i="5"/>
  <c r="C118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102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18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руб.)")&amp;Char(10)&lt;Пустой идентификатор&gt;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------------------
&lt;Формула расчета физ. объема&gt;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----------------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----------------
&lt;ЗПМ по позиции на единицу в базисных ценах с учетом всех к-тов&gt;</t>
        </r>
      </text>
    </comment>
    <comment ref="G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к-тов&gt;&lt;Оборудование на единицу в базисных ценах с учетом всех к-тов&gt;
&lt;Пустой идентификатор&gt;
-------------------
&lt;Формула базисной цены единицы ПЗ&gt;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8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----------------
&lt;Общая стоимость ЗПМ по позиции для БИМ до начисления НР и СП&gt;</t>
        </r>
      </text>
    </comment>
    <comment ref="L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МАТ&gt;),0)))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-----------
&lt;ТЗМ по позиции на единицу&gt;</t>
        </r>
      </text>
    </comment>
    <comment ref="N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-----------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8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8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8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6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6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6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6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---------------
&lt;З/п машинистов (итоги)&gt;</t>
        </r>
      </text>
    </comment>
    <comment ref="L16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6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-----------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8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18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<sst xmlns="http://schemas.openxmlformats.org/spreadsheetml/2006/main" count="1052" uniqueCount="659">
  <si>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</si>
  <si>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</si>
  <si>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</si>
  <si>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</si>
  <si>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</si>
  <si>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</si>
  <si>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</si>
  <si>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</si>
  <si>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</si>
  <si>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</si>
  <si>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</si>
  <si>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</si>
  <si>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</si>
  <si>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</si>
  <si>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</si>
  <si>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</si>
  <si>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</si>
  <si>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</si>
  <si>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</si>
  <si>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</si>
  <si>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</si>
  <si>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</si>
  <si>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</si>
  <si>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</si>
  <si>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</si>
  <si>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 xml:space="preserve">
ИНН/КПП /</t>
  </si>
  <si>
    <t>Основание:  Рабочая документация 14-35-АС</t>
  </si>
  <si>
    <t>Проверил:____________________________</t>
  </si>
  <si>
    <t xml:space="preserve">                           Раздел 1. Демонтажные работы</t>
  </si>
  <si>
    <t>ФЕР46-04-001-04
--------------------
Пр. Минрегион от  17.11.08 № 253</t>
  </si>
  <si>
    <t>23,8
------------------
190*0,12+1</t>
  </si>
  <si>
    <t>180,03
----------------
73,01</t>
  </si>
  <si>
    <t>107,02
----------------
11,57</t>
  </si>
  <si>
    <t xml:space="preserve">
-------------------
 </t>
  </si>
  <si>
    <t>46.59 Разборка: кирпичных и мелкоблочных стен: ОЗП=16,9; ЭМ=7,43; ЗПМ=16,9</t>
  </si>
  <si>
    <t>18924
----------------
4648</t>
  </si>
  <si>
    <t>8,24
-----------
1,15</t>
  </si>
  <si>
    <t>196,11
-----------
27,37</t>
  </si>
  <si>
    <t>НР 84%=110%*(0.9*0.85) от ФОТ</t>
  </si>
  <si>
    <t>СП 48%=70%*(0.85*0.8) от ФОТ</t>
  </si>
  <si>
    <t>Разборка: кирпичных стен</t>
  </si>
  <si>
    <t>1 м3</t>
  </si>
  <si>
    <t>ФЕРр58-4-1
--------------------
Приказ Минстроя РФ от 30.01.14 №31/пр</t>
  </si>
  <si>
    <t>118,1
----------------
116,48</t>
  </si>
  <si>
    <t>84.4 Разборка парапетных решеток: ОЗП=16,9; ЭМ=4,64; ЗПМ=16,9</t>
  </si>
  <si>
    <t>НР 71%=83%*0.85 от ФОТ</t>
  </si>
  <si>
    <t>СП 52%=65%*0.8 от ФОТ</t>
  </si>
  <si>
    <t>Разборка парапетных решеток</t>
  </si>
  <si>
    <t>100 м парапетных решеток</t>
  </si>
  <si>
    <t>ФЕР46-04-008-02
--------------------
Пр. Минрегион от  17.11.08 № 253</t>
  </si>
  <si>
    <t>79,44
----------------
66,92</t>
  </si>
  <si>
    <t>46.70 Разборка покрытий кровель: ОЗП=16,9; ЭМ=2,99; ЗПМ=16,9</t>
  </si>
  <si>
    <t>Разборка покрытий кровель: из листовой стали</t>
  </si>
  <si>
    <t>100 м2 покрытия</t>
  </si>
  <si>
    <t>ФЕРр58-2-2
--------------------
Приказ Минстроя РФ от 30.01.14 №31/пр</t>
  </si>
  <si>
    <t>2466,21
----------------
2455,84</t>
  </si>
  <si>
    <t>84.2 Разборка слуховых окон: ОЗП=16,9; ЭМ=4,65; ЗПМ=16,9</t>
  </si>
  <si>
    <t>Разборка слуховых окон: прямоугольных односкатных</t>
  </si>
  <si>
    <t>100 окон</t>
  </si>
  <si>
    <t>ФЕРр58-1-1
--------------------
Приказ Минстроя РФ от 30.01.14 №31/пр</t>
  </si>
  <si>
    <t>160,11
----------------
120,37</t>
  </si>
  <si>
    <t>39,74
----------------
6,21</t>
  </si>
  <si>
    <t>84.1 Разборка деревянных элементов конструкций крыш: ОЗП=16,9; ЭМ=12,12; ЗПМ=16,9</t>
  </si>
  <si>
    <t>7114
----------------
1555</t>
  </si>
  <si>
    <t>15,16
-----------
0,46</t>
  </si>
  <si>
    <t>224,14
-----------
6,8</t>
  </si>
  <si>
    <t>Разборка деревянных элементов конструкций крыш: обрешетки из брусков с прозорами</t>
  </si>
  <si>
    <t>100 м2 кровли</t>
  </si>
  <si>
    <t>ФЕРр58-1-2
--------------------
Приказ Минстроя РФ от 30.01.14 №31/пр</t>
  </si>
  <si>
    <t>208,54
----------------
183,48</t>
  </si>
  <si>
    <t>25,06
----------------
3,92</t>
  </si>
  <si>
    <t>4484
----------------
980</t>
  </si>
  <si>
    <t>22,68
-----------
0,29</t>
  </si>
  <si>
    <t>335,32
-----------
4,29</t>
  </si>
  <si>
    <t>Разборка деревянных элементов конструкций крыш: стропил со стойками и подкосами из досок</t>
  </si>
  <si>
    <t>ФЕРр58-1-4
--------------------
Приказ Минстроя РФ от 30.01.14 №31/пр</t>
  </si>
  <si>
    <t>76,77
----------------
53,44</t>
  </si>
  <si>
    <t>23,33
----------------
3,65</t>
  </si>
  <si>
    <t>4181
----------------
913</t>
  </si>
  <si>
    <t>6,73
-----------
0,27</t>
  </si>
  <si>
    <t>99,5
-----------
3,99</t>
  </si>
  <si>
    <t>Разборка деревянных элементов конструкций крыш: мауэрлатов</t>
  </si>
  <si>
    <t>ФССЦпг01-01-01-041
--------------------
И1-Пр. Минрегион от 05.05.12 №189</t>
  </si>
  <si>
    <t>Мусор строительный, вручную: погрузка; ЭМ=11,13</t>
  </si>
  <si>
    <t>НР 0% от ФОТ</t>
  </si>
  <si>
    <t>СП 0% от ФОТ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</si>
  <si>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</si>
  <si>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</si>
  <si>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
--------------------
И1-Пр. Минрегион от 05.05.12 №189</t>
  </si>
  <si>
    <t>101,56145
------------------
13,51+15,01+23,35+0,224+1478,5*5,7/1000+22,8*1,8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</si>
  <si>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</si>
  <si>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</si>
  <si>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ФССЦпг03-21-01-025
--------------------
Пр. Минрегион от 20.07.11 №354</t>
  </si>
  <si>
    <t>Перевозка грузов автомобилями-самосвалами грузоподъемностью 10 т, работающих вне карьера, на расстояние: до 25 км.: I класс груза; ЭМ=9,84</t>
  </si>
  <si>
    <t>Перевозка грузов автомобилями-самосвалами грузоподъемностью 10 т, работающих вне карьера, на расстояние: до 25 км I класс груза</t>
  </si>
  <si>
    <t>Итого прямые затраты по разделу в ценах 2001г.</t>
  </si>
  <si>
    <t>6215
---------------
479</t>
  </si>
  <si>
    <t>1022,27
-----------
42,45</t>
  </si>
  <si>
    <t>Итого прямые затраты по разделу с учетом индексов, в текущих ценах</t>
  </si>
  <si>
    <t>57389
---------------
8096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</si>
  <si>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</si>
  <si>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</si>
  <si>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</si>
  <si>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Подготовительные и общестроительные работы</t>
  </si>
  <si>
    <t>ФЕРр58-10-1
--------------------
Приказ Минстроя РФ от 30.01.14 №31/пр</t>
  </si>
  <si>
    <t>325,23
----------------
313,9</t>
  </si>
  <si>
    <t>84.22 Смена: прямых звеньев водосточных труб с земли, лестниц или подмостей: ОЗП=16,9; ЭМ=11,82; ЗПМ=16,9; МАТ=2,65</t>
  </si>
  <si>
    <t>КОЭФ. К ПОЗИЦИИ:
МАТ=0 к расх.</t>
  </si>
  <si>
    <t>Смена: прямых звеньев водосточных труб с земли, лестниц или подмостей</t>
  </si>
  <si>
    <t>100 м</t>
  </si>
  <si>
    <t>ФЕРр58-10-2
--------------------
Приказ Минстроя РФ от 30.01.14 №31/пр</t>
  </si>
  <si>
    <t>762,73
----------------
755,76</t>
  </si>
  <si>
    <t>84.23 Смена: прямых звеньев водосточных труб с люлек: ОЗП=16,9; ЭМ=11,83; ЗПМ=16,9; МАТ=2,65</t>
  </si>
  <si>
    <t>Смена: прямых звеньев водосточных труб с люлек</t>
  </si>
  <si>
    <t>ФССЦ-301-5893
--------------------
Приказ Минстроя России от 12.11.14 №703/пр</t>
  </si>
  <si>
    <t>28
------------------
2*14</t>
  </si>
  <si>
    <t xml:space="preserve">119,27
-------------------
 </t>
  </si>
  <si>
    <t>Труба водосточная МП, диаметр 150х1000 мм, полиэстер (стандартный цвет); МАТ=2,832</t>
  </si>
  <si>
    <t>Труба водосточная МП, диаметр 150х1000 мм, полиэстер (стандартный цвет)</t>
  </si>
  <si>
    <t>шт.</t>
  </si>
  <si>
    <t>ФССЦ-301-5895
--------------------
Приказ Минстроя России от 12.11.14 №703/пр</t>
  </si>
  <si>
    <t>56
------------------
4*14</t>
  </si>
  <si>
    <t xml:space="preserve">357,8
-------------------
 </t>
  </si>
  <si>
    <t>Труба водосточная МП, диаметр 150х3000 мм, полиэстер (стандартный цвет); МАТ=2,82</t>
  </si>
  <si>
    <t>Труба водосточная МП, диаметр 150х3000 мм, полиэстер (стандартный цвет)</t>
  </si>
  <si>
    <t>ФЕРр58-10-3
--------------------
Приказ Минстроя РФ от 30.01.14 №31/пр</t>
  </si>
  <si>
    <t>552,04
----------------
545,07</t>
  </si>
  <si>
    <t>84.24 Смена: колен водосточных труб с земли, лестниц и подмостей: ОЗП=16,9; ЭМ=11,83; ЗПМ=16,9; МАТ=4,01</t>
  </si>
  <si>
    <t>Смена: колен водосточных труб с земли, лестниц и подмостей</t>
  </si>
  <si>
    <t>100 шт.</t>
  </si>
  <si>
    <t>ФССЦ-301-5897
--------------------
Приказ Минстроя России от 12.11.14 №703/пр</t>
  </si>
  <si>
    <t xml:space="preserve">83,12
-------------------
 </t>
  </si>
  <si>
    <t>Колено трубы МП, диаметр 150 мм, полиэстер (стандартный цвет); МАТ=2,915</t>
  </si>
  <si>
    <t>Колено трубы МП, диаметр 150 мм, полиэстер (стандартный цвет)</t>
  </si>
  <si>
    <t>ФЕРр58-10-5
--------------------
Приказ Минстроя РФ от 30.01.14 №31/пр</t>
  </si>
  <si>
    <t>459,91
----------------
452,94</t>
  </si>
  <si>
    <t>84.26 Смена: отливов (отметов) водосточных труб: ОЗП=16,9; ЭМ=11,83; ЗПМ=16,9; МАТ=3,9</t>
  </si>
  <si>
    <t>Смена: отливов (отметов) водосточных труб</t>
  </si>
  <si>
    <t>ФССЦ-301-5899
--------------------
Приказ Минстроя России от 12.11.14 №703/пр</t>
  </si>
  <si>
    <t>Колено трубы МП сливное, диаметр 150 мм, полиэстер (стандартный цвет); МАТ=2,915</t>
  </si>
  <si>
    <t>Колено трубы МП сливное, диаметр 150 мм, полиэстер (стандартный цвет)</t>
  </si>
  <si>
    <t>ФЕРр58-10-6
--------------------
Приказ Минстроя РФ от 30.01.14 №31/пр</t>
  </si>
  <si>
    <t>84.27 Смена: воронок водосточных труб с земли, лестниц или подмостей: ОЗП=16,9; ЭМ=11,83; ЗПМ=16,9; МАТ=3</t>
  </si>
  <si>
    <t>Смена: воронок водосточных труб с земли, лестниц или подмостей</t>
  </si>
  <si>
    <t>ФССЦ-301-5889
--------------------
Приказ Минстроя России от 12.11.14 №703/пр</t>
  </si>
  <si>
    <t xml:space="preserve">271,07
-------------------
 </t>
  </si>
  <si>
    <t>Воронка водосборная МП, диаметр 350/150 мм, полиэстер (стандартный цвет); МАТ=2,472</t>
  </si>
  <si>
    <t>Воронка водосборная МП, диаметр 350/150 мм, полиэстер (стандартный цвет)</t>
  </si>
  <si>
    <t>ФЕРр58-22-1
--------------------
Приказ Минстроя РФ от 30.01.14 №31/пр</t>
  </si>
  <si>
    <t>309,7
----------------
308,83</t>
  </si>
  <si>
    <t>84.57 Смена ухватов для водосточных труб: ОЗП=16,9; ЭМ=11,84; ЗПМ=16,9; МАТ=4,26</t>
  </si>
  <si>
    <t>Смена ухватов для водосточных труб: в каменных стенах</t>
  </si>
  <si>
    <t>Цена поставщика ООО "Томский центр снабжения материалами"</t>
  </si>
  <si>
    <t xml:space="preserve">25,91
-------------------
 </t>
  </si>
  <si>
    <t>3кв 2015; МАТ=5,56</t>
  </si>
  <si>
    <t>Держатель трубы (саморез), диаметр 150 мм, полиэстер 170/1,18/5,56=25,91</t>
  </si>
  <si>
    <t>шт</t>
  </si>
  <si>
    <t>ФЕР08-02-003-01
--------------------
Пр. Минрегион от  17.11.08 № 253</t>
  </si>
  <si>
    <t>1040,59
----------------
95,13</t>
  </si>
  <si>
    <t>50,81
----------------
7,09</t>
  </si>
  <si>
    <t xml:space="preserve">894,65
-------------------
 </t>
  </si>
  <si>
    <t>8.17. Кладка из кирпича конструкций: ОЗП=16,9; ЭМ=12,09; ЗПМ=16,9; МАТ=4,68</t>
  </si>
  <si>
    <t>2116
----------------
406</t>
  </si>
  <si>
    <t>10,12
-----------
0,53</t>
  </si>
  <si>
    <t>34,81
-----------
1,82</t>
  </si>
  <si>
    <t>НР 93%=122%*(0.9*0.85) от ФОТ</t>
  </si>
  <si>
    <t>СП 54%=80%*(0.85*0.8) от ФОТ</t>
  </si>
  <si>
    <t>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</si>
  <si>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Кладка из кирпича: столбов прямоугольных армированных при высоте этажа до 4 м</t>
  </si>
  <si>
    <t>1 м3 кладки</t>
  </si>
  <si>
    <t>193
---------------
24</t>
  </si>
  <si>
    <t>259,95
-----------
1,82</t>
  </si>
  <si>
    <t>2329
---------------
406</t>
  </si>
  <si>
    <t>Итого по разделу 2 Подготовительные и общестроительные работы</t>
  </si>
  <si>
    <t xml:space="preserve">                           Раздел 3. Стропильная система, устройство кровли.</t>
  </si>
  <si>
    <t xml:space="preserve">                                   Менталлоконструкции</t>
  </si>
  <si>
    <t>ФЕР09-03-015-02
--------------------
Приказ Минстроя РФ от 30.01.14 №31/пр</t>
  </si>
  <si>
    <t>2,34688
------------------
(878,94+206,63+272,42+745,3+141,35+36*2,84)/1000</t>
  </si>
  <si>
    <t>1018,79
----------------
205,42</t>
  </si>
  <si>
    <t>727,86
----------------
61,22</t>
  </si>
  <si>
    <t xml:space="preserve">85,51
-------------------
 </t>
  </si>
  <si>
    <t>9.31 Монтаж прогонов при шаге ферм до 12 м: ОЗП=16,9; ЭМ=10,38; ЗПМ=16,9; МАТ=5,56</t>
  </si>
  <si>
    <t>17729
----------------
2434</t>
  </si>
  <si>
    <t>23,5
-----------
4,83</t>
  </si>
  <si>
    <t>55,15
-----------
11,34</t>
  </si>
  <si>
    <t>НР 69%=90%*(0.9*0.85) от ФОТ</t>
  </si>
  <si>
    <t>СП 58%=85%*(0.85*0.8) от ФОТ</t>
  </si>
  <si>
    <t>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</t>
  </si>
  <si>
    <t>Монтаж прогонов при шаге ферм до 12 м при высоте здания: до 50 м</t>
  </si>
  <si>
    <t>1 т конструкций</t>
  </si>
  <si>
    <t>ФССЦ-201-0777
--------------------
Приказ Минстроя России от 12.11.14 №703/пр</t>
  </si>
  <si>
    <t xml:space="preserve">10045
-------------------
 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</si>
  <si>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</si>
  <si>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</si>
  <si>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т</t>
  </si>
  <si>
    <t>ФЕР13-03-002-04
--------------------
И8-Пр. Минрегиона от 29.06.12 №262</t>
  </si>
  <si>
    <t>279,54
----------------
65,03</t>
  </si>
  <si>
    <t>11,79
----------------
0,13</t>
  </si>
  <si>
    <t xml:space="preserve">202,72
-------------------
 </t>
  </si>
  <si>
    <t>13.39. Огрунтовка металлических поверхностей за один раз: грунтовкой ГФ-021: ОЗП=16,9; ЭМ=10,97; ЗПМ=16,9; МАТ=4,27</t>
  </si>
  <si>
    <t>6,11
-----------
0,01</t>
  </si>
  <si>
    <t>5,58
-----------
0,01</t>
  </si>
  <si>
    <t>Огрунтовка металлических поверхностей за один раз: грунтовкой ГФ-021</t>
  </si>
  <si>
    <t>100 м2 окрашиваемой поверхности</t>
  </si>
  <si>
    <t>ФЕР26-02-009-01
--------------------
Приказ Минстроя РФ от 30.01.14 №31/пр</t>
  </si>
  <si>
    <t>12317,18
----------------
1874,78</t>
  </si>
  <si>
    <t xml:space="preserve">10076,25
-------------------
 </t>
  </si>
  <si>
    <t>26.92 Огнезащитное покрытие несущих металлических конструкций: ОЗП=16,9; ЭМ=11,27; ЗПМ=16,9; МАТ=4,18</t>
  </si>
  <si>
    <t>НР 77%=100%*(0.9*0.85) от ФОТ</t>
  </si>
  <si>
    <t>Огнезащитное покрытие металлических огрунтованных (грунтом ГФ-021) поверхностей материалом огнезащитным терморасширяющимся «UNITFIRE CH общая толщиной 1мм»</t>
  </si>
  <si>
    <t xml:space="preserve">                                   Стропильная система</t>
  </si>
  <si>
    <t>ФЕР10-01-002-01
--------------------
Приказ Минстроя РФ от 30.01.14 №31/пр</t>
  </si>
  <si>
    <t>73,512
------------------
36,972+36,54</t>
  </si>
  <si>
    <t>2340,25
----------------
230,22</t>
  </si>
  <si>
    <t>47,78
----------------
2,54</t>
  </si>
  <si>
    <t xml:space="preserve">2062,26
-------------------
 </t>
  </si>
  <si>
    <t>10.4. Установка стропил: ОЗП=16,9; ЭМ=11,09; ЗПМ=16,9; МАТ=3,71</t>
  </si>
  <si>
    <t>38948
----------------
3160</t>
  </si>
  <si>
    <t>27,7
-----------
0,19</t>
  </si>
  <si>
    <t>2036,28
-----------
13,97</t>
  </si>
  <si>
    <t>НР 90%=118%*(0.9*0.85) от ФОТ</t>
  </si>
  <si>
    <t>СП 43%=63%*(0.85*0.8) от ФОТ</t>
  </si>
  <si>
    <t>Установка стропил</t>
  </si>
  <si>
    <t>1 м3 древесины в конструкции</t>
  </si>
  <si>
    <t>ФЕРр69-2-1
--------------------
Приказ Минстроя РФ от 30.01.14 №31/пр</t>
  </si>
  <si>
    <t>57,11
----------------
46,83</t>
  </si>
  <si>
    <t>94.2 Сверление отверстий: ОЗП=16,9; ЭМ=3; ЗПМ=16,9</t>
  </si>
  <si>
    <t>НР 66%=78%*0.85 от ФОТ</t>
  </si>
  <si>
    <t>СП 40%=50%*0.8 от ФОТ</t>
  </si>
  <si>
    <t>Сверление отверстий: в кирпичных стенах электроперфоратором диаметром до 20 мм, толщина стен 0,5 кирпича</t>
  </si>
  <si>
    <t>100 отверстий</t>
  </si>
  <si>
    <t>ФЕРр69-2-2
--------------------
Приказ Минстроя РФ от 30.01.14 №31/пр</t>
  </si>
  <si>
    <t>54,92
----------------
45,04</t>
  </si>
  <si>
    <t>Сверление отверстий: на каждые 0,5 кирпича толщины стен добавлять к расценке 69-2-1</t>
  </si>
  <si>
    <t>ФЕР09-05-003-01
--------------------
Приказ Минстроя РФ от 30.01.14 №31/пр</t>
  </si>
  <si>
    <t>138,19
----------------
134,91</t>
  </si>
  <si>
    <t>9.70 Постановка болтов: строительных с гайками и шайбами: ОЗП=16,9; ЭМ=11,8; ЗПМ=16,9</t>
  </si>
  <si>
    <t>КОЭФ. К ПОЗИЦИИ:
11.2 Ремонт сложных кровель ОЗП=1,25; ЭМ=1,25; ЗПМ=1,25; ТЗ=1,25; ТЗМ=1,25</t>
  </si>
  <si>
    <t>Постановка болтов: строительных с гайками и шайбами</t>
  </si>
  <si>
    <t>100 шт. болтов</t>
  </si>
  <si>
    <t xml:space="preserve">13,2
-------------------
 </t>
  </si>
  <si>
    <t>Анкер распорный с кольцом м14х200х20 86,62/1,18/5,56=13,20</t>
  </si>
  <si>
    <t xml:space="preserve">                                   Устройство кровли</t>
  </si>
  <si>
    <t>ФЕРр58-12-1
--------------------
Приказ Минстроя РФ от 30.01.14 №31/пр</t>
  </si>
  <si>
    <t>2565,57
----------------
315,91</t>
  </si>
  <si>
    <t>50,98
----------------
7,43</t>
  </si>
  <si>
    <t xml:space="preserve">2198,68
-------------------
 </t>
  </si>
  <si>
    <t>84.30 Устройство обрешетки сплошной из досок: ОЗП=16,9; ЭМ=10,32; ЗПМ=16,9; МАТ=5,51</t>
  </si>
  <si>
    <t>2663
----------------
642</t>
  </si>
  <si>
    <t>39,79
-----------
0,55</t>
  </si>
  <si>
    <t>201,7
-----------
2,79</t>
  </si>
  <si>
    <t>Устройство обрешетки сплошной из досок</t>
  </si>
  <si>
    <t>100 м2</t>
  </si>
  <si>
    <t>ФССЦ-102-0073
--------------------
Приказ Минстроя России от 12.11.14 №703/пр</t>
  </si>
  <si>
    <t xml:space="preserve">792
-------------------
 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</si>
  <si>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</si>
  <si>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</si>
  <si>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м3</t>
  </si>
  <si>
    <t>ФССЦ-102-0056
--------------------
Приказ Минстроя России от 12.11.14 №703/пр</t>
  </si>
  <si>
    <t>20,276
------------------
506,9*0,04</t>
  </si>
  <si>
    <t xml:space="preserve">1430
-------------------
 </t>
  </si>
  <si>
    <t>Доски обрезные хвойных пород длиной: 4-6,5 м, шириной 75-150 мм, толщиной 32-40 мм, II сорта; МАТ=3,839</t>
  </si>
  <si>
    <t>Доски обрезные хвойных пород длиной: 4-6,5 м, шириной 75-150 мм, толщиной 32-40 мм, II сорта</t>
  </si>
  <si>
    <t>ФЕРр58-12-2
--------------------
Приказ Минстроя РФ от 30.01.14 №31/пр</t>
  </si>
  <si>
    <t>1815,84
----------------
211,9</t>
  </si>
  <si>
    <t>33,21
----------------
5,4</t>
  </si>
  <si>
    <t xml:space="preserve">1570,73
-------------------
 </t>
  </si>
  <si>
    <t>84.31 Устройство обрешетки с прозорами из досок и брусков под кровлю: из листовой стали: ОЗП=16,9; ЭМ=10,15; ЗПМ=16,9; МАТ=5,26</t>
  </si>
  <si>
    <t>3278
----------------
879</t>
  </si>
  <si>
    <t>26,69
-----------
0,4</t>
  </si>
  <si>
    <t>259,32
-----------
3,89</t>
  </si>
  <si>
    <t>Устройство обрешетки с прозорами из досок и брусков под кровлю: из листовой стали</t>
  </si>
  <si>
    <t>ФССЦ-102-0077
--------------------
Пр. Минрегион от 28.07.09 № 308</t>
  </si>
  <si>
    <t xml:space="preserve">832,7
-------------------
 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</si>
  <si>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</si>
  <si>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 4-6,5 м, все ширины, толщиной 32-40 мм, III сорта</t>
  </si>
  <si>
    <t>ФССЦ-102-0056
--------------------
Пр. Минрегион от 28.07.09 № 308</t>
  </si>
  <si>
    <t>Доски обрезные хвойных пород длиной 4-6,5 м, шириной 75-150 мм, толщиной 32-40 мм, II сорта</t>
  </si>
  <si>
    <t>ФЕР12-01-009-01
--------------------
Приказ Минстроя РФ от 30.01.14 №31/пр</t>
  </si>
  <si>
    <t>19435,55
----------------
1039,2</t>
  </si>
  <si>
    <t>462,73
----------------
44,52</t>
  </si>
  <si>
    <t xml:space="preserve">17933,62
-------------------
 </t>
  </si>
  <si>
    <t>12.26. Устройство желобов: ОЗП=16,9; ЭМ=11,67; ЗПМ=16,9; МАТ=3,93</t>
  </si>
  <si>
    <t>10211
----------------
1420</t>
  </si>
  <si>
    <t>121,83
-----------
3,3</t>
  </si>
  <si>
    <t>230,26
-----------
6,24</t>
  </si>
  <si>
    <t>НР 92%=120%*(0.9*0.85) от ФОТ</t>
  </si>
  <si>
    <t>СП 44%=65%*(0.85*0.8) от ФОТ</t>
  </si>
  <si>
    <t>Устройство желобов: настенных</t>
  </si>
  <si>
    <t>100 м желобов</t>
  </si>
  <si>
    <t>ФССЦ-101-1875
--------------------
Пр. Минрегион от 28.07.09 № 308</t>
  </si>
  <si>
    <t xml:space="preserve">11200
-------------------
 </t>
  </si>
  <si>
    <t>Сталь листовая оцинкованная толщиной листа:0,7 мм; МАТ=3,474</t>
  </si>
  <si>
    <t>Сталь листовая оцинкованная толщиной листа 0,7 мм</t>
  </si>
  <si>
    <t xml:space="preserve">56,7
-------------------
 </t>
  </si>
  <si>
    <t>Лист плоский с полимерным покрытием толщиной 0,55 мм 372/1,18/5,56=56,7</t>
  </si>
  <si>
    <t>м2</t>
  </si>
  <si>
    <t>ФЕР10-01-010-01
--------------------
Приказ Минстроя РФ от 30.01.14 №31/пр</t>
  </si>
  <si>
    <t>2512,4
----------------
271,04</t>
  </si>
  <si>
    <t xml:space="preserve">2189
-------------------
 </t>
  </si>
  <si>
    <t>10.18. Установка деревянных элементов каркаса: ОЗП=16,9; ЭМ=11,46; ЗПМ=16,9; МАТ=3,37</t>
  </si>
  <si>
    <t>Установка элементов каркаса: из брусьев (контробрешетка)</t>
  </si>
  <si>
    <t>ФЕРр58-13-1
--------------------
Приказ Минстроя РФ от 30.01.14 №31/пр</t>
  </si>
  <si>
    <t>935,18
----------------
45,31</t>
  </si>
  <si>
    <t xml:space="preserve">883,33
-------------------
 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</si>
  <si>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</si>
  <si>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</si>
  <si>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
--------------------
Приказ Минстроя РФ от 30.01.14 №31/пр</t>
  </si>
  <si>
    <t xml:space="preserve">7,46
-------------------
 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</si>
  <si>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</si>
  <si>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 РКК-350б</t>
  </si>
  <si>
    <t>Каталог ТССЦ 3/2015 104-9221-90004</t>
  </si>
  <si>
    <t xml:space="preserve">3,5
-------------------
 </t>
  </si>
  <si>
    <t>Изоспан: Защитный материал марки Д 19,47/5,56=3,50</t>
  </si>
  <si>
    <t>ФЕР12-01-023-01
--------------------
Приказ Минстроя РФ от 30.01.14 №31/пр</t>
  </si>
  <si>
    <t>9808,05
----------------
478,54</t>
  </si>
  <si>
    <t>180,06
----------------
16,67</t>
  </si>
  <si>
    <t xml:space="preserve">9149,44
-------------------
 </t>
  </si>
  <si>
    <t>12.51. Устройство кровли из металлочерепицы (с отделочным покрытием): ОЗП=16,9; ЭМ=11,31; ЗПМ=16,9; МАТ=3,48</t>
  </si>
  <si>
    <t>27415
----------------
3786</t>
  </si>
  <si>
    <t>55,39
-----------
1,23</t>
  </si>
  <si>
    <t>745,66
-----------
16,56</t>
  </si>
  <si>
    <t>Устройство кровли из металлочерепицы по готовым прогонам: простая кровля</t>
  </si>
  <si>
    <t>ФССЦ-101-4136
--------------------
Пр. Минрегион от 28.07.09 № 308</t>
  </si>
  <si>
    <t xml:space="preserve">70,5
-------------------
 </t>
  </si>
  <si>
    <t>Металлочерепица «Монтеррей»; МАТ=3,676</t>
  </si>
  <si>
    <t>Металлочерепица «Монтеррей»</t>
  </si>
  <si>
    <t xml:space="preserve">76,21
-------------------
 </t>
  </si>
  <si>
    <t>Профилированный лист с полимерным покрытием: НС44-1000-0,7 500/1,18/5,56=76,21</t>
  </si>
  <si>
    <t xml:space="preserve">67,98
-------------------
 </t>
  </si>
  <si>
    <t>Угол наружный (конек) с полимерным покрытием 300х300х2500 446/1,18/5,56=32,31</t>
  </si>
  <si>
    <t>мп</t>
  </si>
  <si>
    <t>Угол внутренний (примыкание) 300х300х2500 446/1,18/5,56=32,31</t>
  </si>
  <si>
    <t>м</t>
  </si>
  <si>
    <t>ФЕР12-01-010-01
--------------------
Приказ Минстроя РФ от 30.01.14 №31/пр</t>
  </si>
  <si>
    <t>0,375
------------------
0,3*1,25</t>
  </si>
  <si>
    <t>10309,64
----------------
1382,53</t>
  </si>
  <si>
    <t>36,53
----------------
4,22</t>
  </si>
  <si>
    <t xml:space="preserve">8890,58
-------------------
 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</si>
  <si>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</si>
  <si>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169
----------------
34</t>
  </si>
  <si>
    <t>162,08
-----------
0,31</t>
  </si>
  <si>
    <t>60,78
-----------
0,12</t>
  </si>
  <si>
    <t>Устройство мелких покрытий (брандмауэры, парапеты, свесы и т.п.) из листовой оцинкованной стали</t>
  </si>
  <si>
    <t>ФССЦ-101-1875
--------------------
Приказ Минстроя РФ от 30.01.14 №31/пр</t>
  </si>
  <si>
    <t>51,45614
------------------
0,2933/5,7*1000</t>
  </si>
  <si>
    <t>ФЕР26-02-018-03
--------------------
Приказ Минстроя РФ от 30.01.14 №31/пр</t>
  </si>
  <si>
    <t>300,34
----------------
97</t>
  </si>
  <si>
    <t>201,49
----------------
2,46</t>
  </si>
  <si>
    <t xml:space="preserve">1,85
-------------------
 </t>
  </si>
  <si>
    <t>26.104 Огнебиозащитное покрытие деревянных конструкций составами 'Пирилакс' (любой модификации): ОЗП=16,9; ЭМ=11,38; ЗПМ=16,9; МАТ=19,16</t>
  </si>
  <si>
    <t>71079
----------------
1284</t>
  </si>
  <si>
    <t>10,2
-----------
0,21</t>
  </si>
  <si>
    <t>316,2
-----------
6,51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</si>
  <si>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для обеспечения показателей пожарной опасности древесины Г1, РП1, В1, Д2, Т2, по НПБ 244 и для получения трудногорючей и медленно распространяющей пламя древесины по ГОСТ 12.1.044</t>
  </si>
  <si>
    <t>100 м2 обрабатываемой поверхности</t>
  </si>
  <si>
    <t>Каталог ТССЦ 3/2015 113-0515-00005</t>
  </si>
  <si>
    <t xml:space="preserve">40,77
-------------------
 </t>
  </si>
  <si>
    <t>Биопирен "Пирилакс-Люкс" 226,70/5,56=40,77</t>
  </si>
  <si>
    <t>кг</t>
  </si>
  <si>
    <t xml:space="preserve">                                   Слуховые окна</t>
  </si>
  <si>
    <t>ФЕР10-01-003-01
--------------------
Приказ Минстроя РФ от 30.01.14 №31/пр</t>
  </si>
  <si>
    <t>392,81
----------------
65,03</t>
  </si>
  <si>
    <t>27,58
----------------
1,86</t>
  </si>
  <si>
    <t xml:space="preserve">300,2
-------------------
 </t>
  </si>
  <si>
    <t>10.5. Устройство слуховых окон: ОЗП=16,9; ЭМ=11,27; ЗПМ=16,9; МАТ=5,43</t>
  </si>
  <si>
    <t>2795
----------------
287</t>
  </si>
  <si>
    <t>7,62
-----------
0,14</t>
  </si>
  <si>
    <t>68,58
-----------
1,26</t>
  </si>
  <si>
    <t>Устройство слуховых окон</t>
  </si>
  <si>
    <t>1 слуховое окно</t>
  </si>
  <si>
    <t>ФССЦ-101-2001
--------------------
Пр. Минрегион от 28.07.09 № 308</t>
  </si>
  <si>
    <t xml:space="preserve">13,42
-------------------
 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</si>
  <si>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</si>
  <si>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</si>
  <si>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компл.</t>
  </si>
  <si>
    <t>ФССЦ-101-2007
--------------------
Пр. Минрегион от 28.07.09 № 308</t>
  </si>
  <si>
    <t xml:space="preserve">3,74
-------------------
 </t>
  </si>
  <si>
    <t>Петли форточные накладные размером 70x55 мм; МАТ=2,338</t>
  </si>
  <si>
    <t>Петли форточные накладные размером 70х55 мм</t>
  </si>
  <si>
    <t>ФЕР12-01-010-01
--------------------
Пр. Минрегион от  17.11.08 № 253</t>
  </si>
  <si>
    <t>10025,83
----------------
1106,02</t>
  </si>
  <si>
    <t>29,23
----------------
3,38</t>
  </si>
  <si>
    <t>253
----------------
34</t>
  </si>
  <si>
    <t>129,66
-----------
0,25</t>
  </si>
  <si>
    <t>91,9
-----------
0,18</t>
  </si>
  <si>
    <t>97,245614
------------------
0,5543/5,7*1000</t>
  </si>
  <si>
    <t xml:space="preserve">                                   Ограждающие конструкции</t>
  </si>
  <si>
    <t>ФЕРр69-7-2
--------------------
Пр. Минрегион от 13.10.08 № 207</t>
  </si>
  <si>
    <t>7796,67
----------------
837,29</t>
  </si>
  <si>
    <t>162,57
----------------
5,34</t>
  </si>
  <si>
    <t xml:space="preserve">6796,81
-------------------
 </t>
  </si>
  <si>
    <t>94.12 Устройство: переходных мостиков на чердаке: ОЗП=16,9; ЭМ=11,43; ЗПМ=16,9; МАТ=5,11</t>
  </si>
  <si>
    <t>3303
----------------
152</t>
  </si>
  <si>
    <t>104,4
-----------
0,46</t>
  </si>
  <si>
    <t>185,31
-----------
0,82</t>
  </si>
  <si>
    <t>Устройство: переходных мостиков на чердаке (приставная лестница к слуховому окну)</t>
  </si>
  <si>
    <t>100 п. м переходных мостиков</t>
  </si>
  <si>
    <t>ФЕР12-01-012-01
--------------------
Пр. Минрегион от  17.11.08 № 253</t>
  </si>
  <si>
    <t>0,2604
------------------
1,86*14/100</t>
  </si>
  <si>
    <t>3204,4
----------------
84,96</t>
  </si>
  <si>
    <t>86,53
----------------
6,13</t>
  </si>
  <si>
    <t xml:space="preserve">3032,91
-------------------
 </t>
  </si>
  <si>
    <t>12.29. Ограждение кровель перилами: ОЗП=16,9; ЭМ=10,11; ЗПМ=16,9; МАТ=7,51</t>
  </si>
  <si>
    <t>233
----------------
34</t>
  </si>
  <si>
    <t>9,59
-----------
0,45</t>
  </si>
  <si>
    <t>2,5
-----------
0,12</t>
  </si>
  <si>
    <t>Ограждение кровель перилами (кровельная лестница)</t>
  </si>
  <si>
    <t>100 м ограждения</t>
  </si>
  <si>
    <t>ФССЦ-201-0777
--------------------
Пр. Минрегион от 28.07.09 № 308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</si>
  <si>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</si>
  <si>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 xml:space="preserve">350,57
-------------------
 </t>
  </si>
  <si>
    <t>лестница кровельная Л-455х1860 (металлпрофиль) 2300/1,18/5,56=350,57</t>
  </si>
  <si>
    <t>Кронштейн для кровельной лестницы (металлпрофиль) 170/1,18/5,56=25,91</t>
  </si>
  <si>
    <t>748
----------------
85</t>
  </si>
  <si>
    <t>8,25
-----------
0,39</t>
  </si>
  <si>
    <t>Ограждение кровель перилами (страховочный трос)</t>
  </si>
  <si>
    <t>ФССЦ-509-0801
--------------------
Пр. Минрегион от 28.07.09 № 308</t>
  </si>
  <si>
    <t xml:space="preserve">12,03
-------------------
 </t>
  </si>
  <si>
    <t>Трос стальной; МАТ=6,919</t>
  </si>
  <si>
    <t>Трос стальной</t>
  </si>
  <si>
    <t>ФССЦ-509-0125
--------------------
Пр. Минрегион от 28.07.09 № 308</t>
  </si>
  <si>
    <t xml:space="preserve">3000
-------------------
 </t>
  </si>
  <si>
    <t>Анкер тросовой; МАТ=3,001</t>
  </si>
  <si>
    <t>Анкер тросовый</t>
  </si>
  <si>
    <t>1658
----------------
203</t>
  </si>
  <si>
    <t>18,13
-----------
0,85</t>
  </si>
  <si>
    <t>Ограждение кровель перилами</t>
  </si>
  <si>
    <t>1,049716
------------------
(189/3,7*31,65-567)/1000</t>
  </si>
  <si>
    <t>Дополнительно: 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</si>
  <si>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5,59
-----------
0,01</t>
  </si>
  <si>
    <t>ФЕР13-03-004-26
--------------------
И8-Пр. Минрегиона от 29.06.12 №262</t>
  </si>
  <si>
    <t>658,01
----------------
79,9</t>
  </si>
  <si>
    <t>15,55
----------------
0,25</t>
  </si>
  <si>
    <t xml:space="preserve">562,56
-------------------
 </t>
  </si>
  <si>
    <t>13.100 Окраска металлических огрунтованных поверхностей: эмалью ПФ-115: ОЗП=16,9; ЭМ=10,78; ЗПМ=16,9; МАТ=4,94</t>
  </si>
  <si>
    <t>8,81
-----------
0,03</t>
  </si>
  <si>
    <t>8,06
-----------
0,03</t>
  </si>
  <si>
    <t>КОЭФ. К ПОЗИЦИИ:
2 слоя ПЗ=2 (ОЗП=2; ЭМ=2 к расх.; ЗПМ=2; МАТ=2 к расх.; ТЗ=2; ТЗМ=2);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</si>
  <si>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Окраска металлических огрунтованных поверхностей: эмалью ПФ-115</t>
  </si>
  <si>
    <t xml:space="preserve">                                   Устройство и утепление вентканалов</t>
  </si>
  <si>
    <t>ФЕР15-02-001-01
--------------------
Приказ Минстроя России от 12.11.14 №703/пр</t>
  </si>
  <si>
    <t>2157,7
----------------
925,3</t>
  </si>
  <si>
    <t>76,36
----------------
36,54</t>
  </si>
  <si>
    <t xml:space="preserve">1156,05
-------------------
 </t>
  </si>
  <si>
    <t>15.78 Улучшенная штукатурка цементно-известковым раствором по камню: ОЗП=16,9; ЭМ=7,9; ЗПМ=16,9; МАТ=5,71</t>
  </si>
  <si>
    <t>1430
----------------
1453</t>
  </si>
  <si>
    <t>96,18
-----------
4,1</t>
  </si>
  <si>
    <t>227,37
-----------
9,69</t>
  </si>
  <si>
    <t>НР 80%=105%*(0.9*0.85) от ФОТ</t>
  </si>
  <si>
    <t>СП 37%=55%*(0.85*0.8) от ФОТ</t>
  </si>
  <si>
    <t>КОЭФ. К ПОЗИЦИИ:
добавить до толщины намета 20 мм (20/17=1,18) ПЗ=1,18 (ОЗП=1,18; ЭМ=1,18 к расх.; ЗПМ=1,18; МАТ=1,18 к расх.; ТЗ=1,18; ТЗМ=1,18);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</si>
  <si>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Улучшенная штукатурка фасадов цементно-известковым раствором по камню: стен</t>
  </si>
  <si>
    <t>100 м2 оштукатуриваемой поверхности</t>
  </si>
  <si>
    <t>Каталог ТССЦ 3/2015 104-9221-90002</t>
  </si>
  <si>
    <t xml:space="preserve">2,63
-------------------
 </t>
  </si>
  <si>
    <t>Изоспан: Двухслойная паропроницаемая мембрана марки В 14,62/5,56=2,63</t>
  </si>
  <si>
    <t>ФЕР26-01-036-01
--------------------
Приказ Минстроя РФ от 30.01.14 №31/пр</t>
  </si>
  <si>
    <t>269,35
----------------
152,18</t>
  </si>
  <si>
    <t>11,73
----------------
0,51</t>
  </si>
  <si>
    <t xml:space="preserve">105,45
-------------------
 </t>
  </si>
  <si>
    <t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</t>
  </si>
  <si>
    <t>269
----------------
17</t>
  </si>
  <si>
    <t>18,47
-----------
0,04</t>
  </si>
  <si>
    <t>43,66
-----------
0,09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</si>
  <si>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</si>
  <si>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</si>
  <si>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Каталог ТССЦ 3/2015 104-9100-91013</t>
  </si>
  <si>
    <t>11,82
------------------
236,4*0,05</t>
  </si>
  <si>
    <t xml:space="preserve">745,84
-------------------
 </t>
  </si>
  <si>
    <t>Плиты теплоизоляционные негидрофобизированные базальтовые: ПТЭ-125, размером 2000х1000х50 4146,89/5,56=745,84</t>
  </si>
  <si>
    <t>ФЕР26-01-053-01
--------------------
И1-Пр. Минрегион от 27.02.10 №81</t>
  </si>
  <si>
    <t>10694,04
----------------
1455,58</t>
  </si>
  <si>
    <t xml:space="preserve">8515,41
-------------------
 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</si>
  <si>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</si>
  <si>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</si>
  <si>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100 м2 поверхности покрытия изоляции</t>
  </si>
  <si>
    <t>ФССЦ-101-1876
--------------------
Пр. Минрегион от 28.07.09 № 308</t>
  </si>
  <si>
    <t xml:space="preserve">11000
-------------------
 </t>
  </si>
  <si>
    <t>Сталь листовая оцинкованная толщиной листа:0,8 мм; МАТ=3,776</t>
  </si>
  <si>
    <t>Сталь листовая оцинкованная толщиной листа 0,8 мм</t>
  </si>
  <si>
    <t>280,555556
------------------
1,818/6,48*1000</t>
  </si>
  <si>
    <t xml:space="preserve">                                   Фановые трубы</t>
  </si>
  <si>
    <t>ФЕР16-01-005-01
--------------------
Приказ Минстроя РФ от 30.01.14 №31/пр</t>
  </si>
  <si>
    <t>9305,02
----------------
859,59</t>
  </si>
  <si>
    <t>100,01
----------------
4,05</t>
  </si>
  <si>
    <t xml:space="preserve">8345,42
-------------------
 </t>
  </si>
  <si>
    <t>16.25 Прокладка по стенам зданий и в каналах трубопроводов из чугунных канализационных труб: ОЗП=16,9; ЭМ=11,9; ЗПМ=16,9; МАТ=5,59</t>
  </si>
  <si>
    <t>214
----------------
17</t>
  </si>
  <si>
    <t>89,36
-----------
0,3</t>
  </si>
  <si>
    <t>16,08
-----------
0,05</t>
  </si>
  <si>
    <t>НР 98%=128%*(0.9*0.85) от ФОТ</t>
  </si>
  <si>
    <t>СП 56%=83%*(0.85*0.8) от ФОТ</t>
  </si>
  <si>
    <t>Прокладка по стенам зданий и в каналах трубопроводов из чугунных канализационных труб диаметром: 50 мм</t>
  </si>
  <si>
    <t>100 м трубопровода</t>
  </si>
  <si>
    <t>ФЕР26-01-002-01
--------------------
Приказ Минстроя РФ от 30.01.14 №31/пр</t>
  </si>
  <si>
    <t>2243,16
----------------
230,03</t>
  </si>
  <si>
    <t xml:space="preserve">1963,86
-------------------
 </t>
  </si>
  <si>
    <t>26.2. Изоляция трубопроводов цилиндрами, полуцилиндрами и сегментами из пенопласта: ОЗП=16,9; ЭМ=11,64; ЗПМ=16,9; МАТ=4,37</t>
  </si>
  <si>
    <t>Изоляция трубопроводов цилиндрами, полуцилиндрами и сегментами из пенопласта, диаметр трубопровода: до 350 мм</t>
  </si>
  <si>
    <t>1 м3 изоляции</t>
  </si>
  <si>
    <t>ФССЦ-104-0144
--------------------
Приказ Минстроя России от 12.11.14 №703/пр</t>
  </si>
  <si>
    <t xml:space="preserve">1280,3
-------------------
 </t>
  </si>
  <si>
    <t>Блоки сегментные теплоизоляционные из пенопласта полистирольного ПСБС-40; МАТ=3,159</t>
  </si>
  <si>
    <t>Блоки сегментные теплоизоляционные из пенопласта полистирольного ПСБС-40</t>
  </si>
  <si>
    <t>ФССЦ-104-0214
--------------------
Приказ Минстроя России от 12.11.14 №703/пр</t>
  </si>
  <si>
    <t xml:space="preserve">40,05
-------------------
 </t>
  </si>
  <si>
    <t>Скорлупы из пенополиуретана для изоляции стыков труб диаметром: 100 (108) мм; МАТ=9,426</t>
  </si>
  <si>
    <t>Скорлупы из пенополиуретана для изоляции стыков труб диаметром: 100 (108) мм</t>
  </si>
  <si>
    <t>ФЕР20-02-010-08
--------------------
Приказ Минстроя РФ от 30.01.14 №31/пр</t>
  </si>
  <si>
    <t>55,34
----------------
37,19</t>
  </si>
  <si>
    <t>9,66
----------------
0,18</t>
  </si>
  <si>
    <t xml:space="preserve">8,49
-------------------
 </t>
  </si>
  <si>
    <t>20.25 Установка зонтов над шахтами из листовой и оцинкованной стали: ОЗП=16,9; ЭМ=7,61; ЗПМ=16,9; МАТ=5,89</t>
  </si>
  <si>
    <t>1248
----------------
51</t>
  </si>
  <si>
    <t>4,2
-----------
0,01</t>
  </si>
  <si>
    <t>71,4
-----------
0,17</t>
  </si>
  <si>
    <t>Установка зонтов над шахтами из листовой стали прямоугольного сечения периметром : 4000 мм</t>
  </si>
  <si>
    <t>1 зонт</t>
  </si>
  <si>
    <t xml:space="preserve">571,58
-------------------
 </t>
  </si>
  <si>
    <t>Зонты вентиляционных систем из листовой оцинкованной стали с полимерным покрытием : прямоугольные, периметром шахты 4000 мм</t>
  </si>
  <si>
    <t>19085
---------------
945</t>
  </si>
  <si>
    <t>5550,75
-----------
75,09</t>
  </si>
  <si>
    <t>206451
---------------
15972</t>
  </si>
  <si>
    <t>Итого по разделу 3 Стропильная система, устройство кровли.</t>
  </si>
  <si>
    <t xml:space="preserve">                           Раздел 4. Устройство молниезащиты</t>
  </si>
  <si>
    <t>ФЕРр68-12-4
--------------------
Приказ Минстроя РФ от 30.01.14 №31/пр</t>
  </si>
  <si>
    <t>6008,44
----------------
2022,24</t>
  </si>
  <si>
    <t>3986,2
----------------
423,83</t>
  </si>
  <si>
    <t>93.23 Разборка покрытий и оснований: асфальтобетонных с помощью молотков отбойных: ОЗП=16,9; ЭМ=8,96; ЗПМ=16,9</t>
  </si>
  <si>
    <t>179
----------------
34</t>
  </si>
  <si>
    <t>243,35
-----------
41,39</t>
  </si>
  <si>
    <t>1,22
-----------
0,21</t>
  </si>
  <si>
    <t>НР 88%=104%*0.85 от ФОТ</t>
  </si>
  <si>
    <t>СП 48%=60%*0.8 от ФОТ</t>
  </si>
  <si>
    <t>Разборка покрытий и оснований: асфальтобетонных с помощью молотков отбойных</t>
  </si>
  <si>
    <t>100 м3 конструкций</t>
  </si>
  <si>
    <t>ФЕРм08-02-471-04
--------------------
Приказ Минстроя РФ от 30.01.14 №31/пр</t>
  </si>
  <si>
    <t>155,02
----------------
77,93</t>
  </si>
  <si>
    <t>51,63
----------------
1,89</t>
  </si>
  <si>
    <t xml:space="preserve">25,46
-------------------
 </t>
  </si>
  <si>
    <t>55.347 Заземлители: ОЗП=16,9; ЭМ=8,89; ЗПМ=16,9; МАТ=3,6</t>
  </si>
  <si>
    <t>276
----------------
17</t>
  </si>
  <si>
    <t>8,29
-----------
0,14</t>
  </si>
  <si>
    <t>4,97
-----------
0,08</t>
  </si>
  <si>
    <t>НР 81%=95%*0.85 от ФОТ</t>
  </si>
  <si>
    <t>Заземлитель вертикальный из круглой стали диаметром: 16 мм</t>
  </si>
  <si>
    <t>10 шт.</t>
  </si>
  <si>
    <t>ФЕРм08-02-472-08
--------------------
Приказ Минстроя РФ от 30.01.14 №31/пр</t>
  </si>
  <si>
    <t>541,57
----------------
188,94</t>
  </si>
  <si>
    <t>51,62
----------------
1,49</t>
  </si>
  <si>
    <t xml:space="preserve">301,01
-------------------
 </t>
  </si>
  <si>
    <t>55.350 Проводник заземляющий открыто по строительным основаниям: ОЗП=16,9; ЭМ=8,51; ЗПМ=16,9; МАТ=3,52</t>
  </si>
  <si>
    <t>221
----------------
17</t>
  </si>
  <si>
    <t>20,1
-----------
0,11</t>
  </si>
  <si>
    <t>10,05
-----------
0,06</t>
  </si>
  <si>
    <t>Проводник заземляющий открыто по строительным основаниям: из круглой стали диаметром 8 мм</t>
  </si>
  <si>
    <t>ФЕРм08-02-472-09
--------------------
Приказ Минстроя РФ от 30.01.14 №31/пр</t>
  </si>
  <si>
    <t>374,79
----------------
200,22</t>
  </si>
  <si>
    <t>69,36
----------------
2,57</t>
  </si>
  <si>
    <t xml:space="preserve">105,21
-------------------
 </t>
  </si>
  <si>
    <t>21,3
-----------
0,19</t>
  </si>
  <si>
    <t>3,2
-----------
0,03</t>
  </si>
  <si>
    <t>Проводник заземляющий открыто по строительным основаниям: из круглой стали диаметром 12 мм (16 мм)</t>
  </si>
  <si>
    <t>ФЕРм08-02-472-02
--------------------
Приказ Минстроя РФ от 30.01.14 №31/пр</t>
  </si>
  <si>
    <t>271,78
----------------
156,04</t>
  </si>
  <si>
    <t>74,15
----------------
2,97</t>
  </si>
  <si>
    <t xml:space="preserve">41,59
-------------------
 </t>
  </si>
  <si>
    <t>55.348 Заземлитель горизонтальный из стали: ОЗП=16,9; ЭМ=8,56; ЗПМ=16,9; МАТ=3,64</t>
  </si>
  <si>
    <t>16,6
-----------
0,22</t>
  </si>
  <si>
    <t>1,66
-----------
0,02</t>
  </si>
  <si>
    <t>Заземлитель горизонтальный из стали: полосовой сечением 160 мм2</t>
  </si>
  <si>
    <t>ФЕР01-02-061-01
--------------------
Приказ Минстроя РФ от 30.01.14 №31/пр</t>
  </si>
  <si>
    <t>663,75
----------------
663,75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</si>
  <si>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</t>
  </si>
  <si>
    <t>НР 61%=80%*(0.9*0.85) от ФОТ</t>
  </si>
  <si>
    <t>СП 31%=45%*(0.85*0.8) от ФОТ</t>
  </si>
  <si>
    <t>Засыпка вручную траншей, пазух котлованов и ям, группа грунтов: 1</t>
  </si>
  <si>
    <t>100 м3 грунта</t>
  </si>
  <si>
    <t>ФЕР34-02-064-01
применительно
--------------------
Приказ Минстроя РФ от 30.01.14 №31/пр</t>
  </si>
  <si>
    <t>29,8
----------------
29,8</t>
  </si>
  <si>
    <t>34.73 Установка стоек телефонных: однопарных: ОЗП=16,9; МАТ=2,41</t>
  </si>
  <si>
    <t>КОЭФ. К ПОЗИЦИИ:
Без учета стоимости материалов МАТ=0 к расх.</t>
  </si>
  <si>
    <t>Установка стоек телефонных: однопарных (молниеотвод Форенд)</t>
  </si>
  <si>
    <t>1 стойка</t>
  </si>
  <si>
    <t>ФЕРм08-01-080-01
--------------------
Приказ Минстроя РФ от 30.01.14 №31/пр</t>
  </si>
  <si>
    <t>20,32
----------------
10,87</t>
  </si>
  <si>
    <t>8,87
----------------
0,54</t>
  </si>
  <si>
    <t xml:space="preserve">0,58
-------------------
 </t>
  </si>
  <si>
    <t>55.104 Прибор измерения и защиты: ОЗП=16,9; ЭМ=10,13; ЗПМ=16,9; МАТ=6,12</t>
  </si>
  <si>
    <t>182
----------------
17</t>
  </si>
  <si>
    <t>1,13
-----------
0,04</t>
  </si>
  <si>
    <t>2,26
-----------
0,08</t>
  </si>
  <si>
    <t>Прибор измерения и защиты, количество подключаемых концов: до 2</t>
  </si>
  <si>
    <t>1 шт.</t>
  </si>
  <si>
    <t xml:space="preserve">                                   Материалы к молниезащите</t>
  </si>
  <si>
    <t>Счет 1826 от 31.08.2015 ООО "ЭлкоПро"</t>
  </si>
  <si>
    <t xml:space="preserve">25,86
-------------------
 </t>
  </si>
  <si>
    <t>Держатель проводника DEHNhold Rd=8-10 мм,  h=20мм, NIRO DEHN</t>
  </si>
  <si>
    <t xml:space="preserve">67,45
-------------------
 </t>
  </si>
  <si>
    <t>Держатель проводника на кровле DEHNgrip h=36мм</t>
  </si>
  <si>
    <t xml:space="preserve">95,11
-------------------
 </t>
  </si>
  <si>
    <t>Крестообразный соединитель Rd/Fl=8-10/30-40 мм St/tZn</t>
  </si>
  <si>
    <t xml:space="preserve">61,33
-------------------
 </t>
  </si>
  <si>
    <t>Универсальная разделительная клемма NIRO Rd/Rd=8-10/8-10 мм</t>
  </si>
  <si>
    <t xml:space="preserve">31,47
-------------------
 </t>
  </si>
  <si>
    <t>Ударный наконечник стержня глубинного заземлителя</t>
  </si>
  <si>
    <t xml:space="preserve">74,19
-------------------
 </t>
  </si>
  <si>
    <t>Соединительный зажим St/tZn D=20мм</t>
  </si>
  <si>
    <t xml:space="preserve">281,03
-------------------
 </t>
  </si>
  <si>
    <t>Стержень глубинного заземлителя  DEHN тип Z D=20мм,St/tZn</t>
  </si>
  <si>
    <t xml:space="preserve">11,24
-------------------
 </t>
  </si>
  <si>
    <t>Круглый проводник D=8мм DEHN St/tZn</t>
  </si>
  <si>
    <t xml:space="preserve">58,45
-------------------
 </t>
  </si>
  <si>
    <t>Круглый проводник в ПВХ оболочке D=10/13 мм34кг/50м St/tZn</t>
  </si>
  <si>
    <t xml:space="preserve">13758,99
-------------------
 </t>
  </si>
  <si>
    <t>Активный молниеотвод Форенд forend eu f 10110</t>
  </si>
  <si>
    <t xml:space="preserve">157,37
-------------------
 </t>
  </si>
  <si>
    <t>Антикоррозийная защитная лента W=300мм, L=10мм</t>
  </si>
  <si>
    <t xml:space="preserve">629,5
-------------------
 </t>
  </si>
  <si>
    <t>Гальванизированная труба 3м /(мачта молниеотвода)</t>
  </si>
  <si>
    <t>Полоса оцинкованная 40*4</t>
  </si>
  <si>
    <t xml:space="preserve">128,15
-------------------
 </t>
  </si>
  <si>
    <t>Скоба для крепления мачты к стене F20253 (верхний)</t>
  </si>
  <si>
    <t>Скоба для крепления мачты к стене F20253 (нижний)</t>
  </si>
  <si>
    <t xml:space="preserve">3282,37
-------------------
 </t>
  </si>
  <si>
    <t>Счетчик ударов молний FLSC FOREND</t>
  </si>
  <si>
    <t xml:space="preserve">5058,45
-------------------
 </t>
  </si>
  <si>
    <t>Тестер FLCT FOREND</t>
  </si>
  <si>
    <t xml:space="preserve">53,96
-------------------
 </t>
  </si>
  <si>
    <t>Хомут держатель токоотвода на мачте 2*50, пластик F21061</t>
  </si>
  <si>
    <t>112
---------------
5</t>
  </si>
  <si>
    <t>26,97
-----------
0,48</t>
  </si>
  <si>
    <t>1003
---------------
85</t>
  </si>
  <si>
    <t>Итого по разделу 4 Устройство молниезащиты</t>
  </si>
  <si>
    <t>Итого прямые затраты по смете в ценах 2001г.</t>
  </si>
  <si>
    <t>25605
---------------
1453</t>
  </si>
  <si>
    <t>6859,94
-----------
119,84</t>
  </si>
  <si>
    <t>Итого прямые затраты по смете с учетом индексов, в текущих ценах</t>
  </si>
  <si>
    <t>267172
---------------
24559</t>
  </si>
  <si>
    <t>Итоги по смете:</t>
  </si>
  <si>
    <t xml:space="preserve">  Итого по разделу 1 Демонтажные работы</t>
  </si>
  <si>
    <t xml:space="preserve">  Итого по разделу 2 Подготовительные и общестроительные работы</t>
  </si>
  <si>
    <t xml:space="preserve">  Итого по разделу 3 Стропильная система, устройство кровли.</t>
  </si>
  <si>
    <t xml:space="preserve">  Итого по разделу 4 Устройство молниезащиты</t>
  </si>
  <si>
    <t xml:space="preserve">  Итого</t>
  </si>
  <si>
    <t xml:space="preserve">    Справочно, в текущих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</si>
  <si>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</si>
  <si>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</si>
  <si>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</si>
  <si>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</si>
  <si>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</si>
  <si>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</si>
  <si>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ЛОКАЛЬНЫЙ СМЕТНЫЙ РАСЧЕТ №  02-01-01</t>
  </si>
  <si>
    <t>Составлен(а) в текущих ценах по состоянию на 3кв 2015</t>
  </si>
  <si>
    <t>на   капитальный ремонт крыши</t>
  </si>
  <si>
    <t>Капитальный ремонт многоквартирного дома по адресу: г. Томск, ул. Советская, 46</t>
  </si>
  <si>
    <t>Проведена проверка определения достоверности сметной стоимости</t>
  </si>
  <si>
    <t>Составил:____________________________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</si>
</sst>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1"/>
      <name val="Tahoma"/>
      <family val="2"/>
      <charset val="204"/>
    </font>
    <font>
      <b/>
      <sz val="14"/>
      <name val="Arial"/>
      <family val="2"/>
      <charset val="204"/>
    </font>
    <font>
      <b/>
      <sz val="14"/>
      <color indexed="81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u/>
      <sz val="10"/>
      <name val="Tahoma"/>
      <family val="2"/>
      <charset val="204"/>
    </font>
    <font>
      <b/>
      <u/>
      <sz val="12"/>
      <name val="Tahoma"/>
      <family val="2"/>
      <charset val="204"/>
    </font>
    <font>
      <sz val="7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 Cyr"/>
      <charset val="204"/>
    </font>
    <font>
      <i/>
      <sz val="10"/>
      <name val="Tahoma"/>
      <family val="2"/>
      <charset val="204"/>
    </font>
    <font>
      <i/>
      <sz val="10"/>
      <name val="Arial Cyr"/>
      <charset val="204"/>
    </font>
    <font>
      <b/>
      <sz val="9"/>
      <name val="Tahoma"/>
      <family val="2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Border="1" applyAlignment="1"/>
    <xf numFmtId="0" fontId="0" fillId="0" borderId="0" xfId="0" applyFont="1" applyBorder="1"/>
    <xf numFmtId="0" fontId="1" fillId="0" borderId="0" xfId="9">
      <alignment horizontal="right" indent="1"/>
    </xf>
    <xf numFmtId="0" fontId="1" fillId="0" borderId="0" xfId="9" applyBorder="1">
      <alignment horizontal="right" indent="1"/>
    </xf>
    <xf numFmtId="0" fontId="9" fillId="0" borderId="0" xfId="0" applyFont="1" applyAlignment="1"/>
    <xf numFmtId="0" fontId="11" fillId="0" borderId="0" xfId="0" applyFont="1" applyAlignment="1">
      <alignment horizontal="center" vertical="top"/>
    </xf>
    <xf numFmtId="0" fontId="11" fillId="0" borderId="0" xfId="9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9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2" xfId="9" applyFont="1" applyBorder="1" applyAlignment="1">
      <alignment horizontal="left"/>
    </xf>
    <xf numFmtId="0" fontId="11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2" fillId="0" borderId="0" xfId="0" applyFont="1" applyAlignment="1"/>
    <xf numFmtId="0" fontId="12" fillId="0" borderId="2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quotePrefix="1" applyFont="1" applyBorder="1" applyAlignment="1">
      <alignment horizontal="right" vertical="top"/>
    </xf>
    <xf numFmtId="0" fontId="12" fillId="0" borderId="0" xfId="0" quotePrefix="1" applyFont="1" applyFill="1" applyBorder="1" applyAlignment="1">
      <alignment horizontal="left" vertical="top"/>
    </xf>
    <xf numFmtId="0" fontId="14" fillId="0" borderId="0" xfId="0" applyFont="1" applyBorder="1" applyAlignment="1">
      <alignment horizontal="right" vertical="top" wrapText="1"/>
    </xf>
    <xf numFmtId="0" fontId="12" fillId="0" borderId="0" xfId="0" quotePrefix="1" applyFont="1" applyBorder="1" applyAlignment="1">
      <alignment horizontal="left" vertical="top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/>
    <xf numFmtId="0" fontId="11" fillId="0" borderId="0" xfId="11" applyFont="1" applyAlignment="1">
      <alignment horizontal="left"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16" fillId="0" borderId="0" xfId="9" applyFont="1" applyAlignment="1">
      <alignment horizontal="left"/>
    </xf>
    <xf numFmtId="0" fontId="12" fillId="0" borderId="2" xfId="9" quotePrefix="1" applyFont="1" applyBorder="1" applyAlignment="1">
      <alignment horizontal="left"/>
    </xf>
    <xf numFmtId="0" fontId="12" fillId="0" borderId="2" xfId="10" applyFont="1" applyBorder="1" applyAlignment="1">
      <alignment horizontal="left"/>
    </xf>
    <xf numFmtId="0" fontId="12" fillId="0" borderId="3" xfId="9" quotePrefix="1" applyFont="1" applyBorder="1" applyAlignment="1">
      <alignment horizontal="left"/>
    </xf>
    <xf numFmtId="0" fontId="12" fillId="0" borderId="3" xfId="10" applyFont="1" applyBorder="1" applyAlignment="1">
      <alignment horizontal="left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7" fillId="0" borderId="0" xfId="9" applyFont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1" fillId="0" borderId="4" xfId="4" applyFont="1" applyBorder="1" applyAlignment="1">
      <alignment horizontal="center" wrapText="1"/>
    </xf>
    <xf numFmtId="0" fontId="7" fillId="0" borderId="8" xfId="4" applyFont="1" applyBorder="1">
      <alignment horizontal="center" wrapText="1"/>
    </xf>
    <xf numFmtId="0" fontId="7" fillId="0" borderId="4" xfId="4" applyFont="1" applyBorder="1">
      <alignment horizontal="center" wrapText="1"/>
    </xf>
    <xf numFmtId="0" fontId="9" fillId="0" borderId="4" xfId="4" applyFont="1" applyBorder="1" applyAlignment="1">
      <alignment horizontal="left" vertical="top" wrapText="1"/>
    </xf>
    <xf numFmtId="0" fontId="1" fillId="0" borderId="4" xfId="4" applyBorder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" fillId="0" borderId="1" xfId="9" applyBorder="1">
      <alignment horizontal="right" indent="1"/>
    </xf>
    <xf numFmtId="0" fontId="1" fillId="0" borderId="1" xfId="0" applyFont="1" applyBorder="1" applyAlignment="1"/>
    <xf numFmtId="0" fontId="9" fillId="0" borderId="1" xfId="0" applyFont="1" applyBorder="1" applyAlignment="1"/>
    <xf numFmtId="0" fontId="12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1" fillId="0" borderId="1" xfId="3" applyFont="1" applyBorder="1" applyAlignment="1">
      <alignment horizontal="right" vertical="top" wrapText="1"/>
    </xf>
    <xf numFmtId="0" fontId="23" fillId="0" borderId="1" xfId="3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0" fontId="12" fillId="0" borderId="0" xfId="9" applyFont="1" applyAlignment="1">
      <alignment horizontal="right" vertical="top" wrapText="1"/>
    </xf>
    <xf numFmtId="0" fontId="11" fillId="0" borderId="4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0" xfId="9" quotePrefix="1" applyFont="1" applyAlignment="1">
      <alignment horizontal="left"/>
    </xf>
    <xf numFmtId="0" fontId="16" fillId="0" borderId="0" xfId="9" applyFont="1" applyAlignment="1">
      <alignment horizontal="left"/>
    </xf>
    <xf numFmtId="0" fontId="12" fillId="0" borderId="2" xfId="9" applyFont="1" applyBorder="1">
      <alignment horizontal="right" indent="1"/>
    </xf>
    <xf numFmtId="0" fontId="12" fillId="0" borderId="3" xfId="9" applyFont="1" applyBorder="1">
      <alignment horizontal="right" inden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12" xfId="0" applyFont="1" applyBorder="1" applyAlignment="1"/>
    <xf numFmtId="0" fontId="11" fillId="0" borderId="0" xfId="0" applyFont="1" applyBorder="1" applyAlignment="1"/>
    <xf numFmtId="0" fontId="11" fillId="0" borderId="13" xfId="0" applyFont="1" applyBorder="1" applyAlignment="1"/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192"/>
  <sheetViews>
    <sheetView showGridLines="0" tabSelected="1" zoomScale="86" zoomScaleNormal="86" workbookViewId="0">
      <selection activeCell="F1" sqref="F1"/>
    </sheetView>
  </sheetViews>
  <sheetFormatPr defaultColWidth="9.109375" defaultRowHeight="13.2" x14ac:dyDescent="0.25"/>
  <cols>
    <col min="1" max="1" width="5.5546875" style="3" customWidth="1"/>
    <col min="2" max="2" width="22.5546875" style="3" customWidth="1"/>
    <col min="3" max="3" width="46.33203125" style="3" customWidth="1"/>
    <col min="4" max="4" width="12.33203125" style="3" customWidth="1"/>
    <col min="5" max="5" width="10.88671875" style="4" customWidth="1"/>
    <col min="6" max="6" width="10.6640625" style="4" customWidth="1"/>
    <col min="7" max="7" width="10" style="4" customWidth="1"/>
    <col min="8" max="8" width="26.44140625" style="4" customWidth="1"/>
    <col min="9" max="11" width="11" style="4" customWidth="1"/>
    <col min="12" max="12" width="10.6640625" style="4" customWidth="1"/>
    <col min="13" max="13" width="8" style="4" customWidth="1"/>
    <col min="14" max="14" width="7.5546875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38" width="0" style="2" hidden="1" customWidth="1"/>
    <col min="39" max="16384" width="9.109375" style="2"/>
  </cols>
  <sheetData>
    <row r="1" spans="1:14" s="1" customFormat="1" x14ac:dyDescent="0.25">
      <c r="A1" s="12"/>
      <c r="B1" s="13"/>
      <c r="C1" s="12"/>
      <c r="D1" s="14"/>
      <c r="E1" s="15"/>
      <c r="F1" s="16" t="s">
        <v>656</v>
      </c>
      <c r="G1" s="15"/>
      <c r="H1" s="17"/>
      <c r="I1" s="12"/>
      <c r="J1" s="12"/>
      <c r="K1" s="12"/>
      <c r="L1" s="12"/>
      <c r="M1" s="12"/>
      <c r="N1" s="18"/>
    </row>
    <row r="2" spans="1:14" s="1" customFormat="1" x14ac:dyDescent="0.25">
      <c r="A2" s="19" t="s">
        <v>5</v>
      </c>
      <c r="B2" s="13"/>
      <c r="C2" s="18"/>
      <c r="D2" s="17"/>
      <c r="E2" s="14"/>
      <c r="F2" s="53" t="s">
        <v>1</v>
      </c>
      <c r="G2" s="20"/>
      <c r="H2" s="18"/>
      <c r="J2" s="19"/>
      <c r="L2" s="19"/>
      <c r="M2" s="12"/>
      <c r="N2" s="46" t="s">
        <v>6</v>
      </c>
    </row>
    <row r="3" spans="1:14" s="1" customFormat="1" x14ac:dyDescent="0.25">
      <c r="A3" s="55" t="s">
        <v>7</v>
      </c>
      <c r="B3" s="18"/>
      <c r="C3" s="18"/>
      <c r="D3" s="18"/>
      <c r="E3" s="12"/>
      <c r="F3" s="12"/>
      <c r="G3" s="12"/>
      <c r="H3" s="12"/>
      <c r="J3" s="19"/>
      <c r="L3" s="19"/>
      <c r="M3" s="12"/>
      <c r="N3" s="56" t="s">
        <v>0</v>
      </c>
    </row>
    <row r="4" spans="1:14" s="1" customFormat="1" ht="51" customHeight="1" x14ac:dyDescent="0.25">
      <c r="A4" s="91" t="s">
        <v>25</v>
      </c>
      <c r="B4" s="91"/>
      <c r="C4" s="91"/>
      <c r="D4" s="54" t="s">
        <v>653</v>
      </c>
      <c r="E4" s="14"/>
      <c r="G4" s="12"/>
      <c r="H4" s="18"/>
      <c r="I4" s="92" t="s">
        <v>25</v>
      </c>
      <c r="J4" s="92"/>
      <c r="K4" s="92"/>
      <c r="L4" s="92"/>
      <c r="M4" s="92"/>
      <c r="N4" s="92"/>
    </row>
    <row r="5" spans="1:14" s="1" customFormat="1" x14ac:dyDescent="0.25">
      <c r="A5" s="12"/>
      <c r="B5" s="12"/>
      <c r="C5" s="12"/>
      <c r="D5" s="18"/>
      <c r="E5" s="14"/>
      <c r="F5" s="52" t="s">
        <v>2</v>
      </c>
      <c r="G5" s="12"/>
      <c r="H5" s="18"/>
      <c r="I5" s="12"/>
      <c r="J5" s="12"/>
      <c r="K5" s="12"/>
      <c r="L5" s="12"/>
      <c r="M5" s="12"/>
      <c r="N5" s="18"/>
    </row>
    <row r="6" spans="1:14" s="1" customFormat="1" x14ac:dyDescent="0.25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1" customFormat="1" x14ac:dyDescent="0.25">
      <c r="A7" s="12"/>
      <c r="B7" s="12"/>
      <c r="C7" s="22"/>
      <c r="D7" s="23" t="s">
        <v>655</v>
      </c>
      <c r="E7" s="24"/>
      <c r="F7" s="24"/>
      <c r="G7" s="24"/>
      <c r="H7" s="24"/>
      <c r="I7" s="21"/>
      <c r="J7" s="21"/>
      <c r="K7" s="21"/>
      <c r="L7" s="21"/>
      <c r="M7" s="12"/>
      <c r="N7" s="18"/>
    </row>
    <row r="8" spans="1:14" s="1" customFormat="1" x14ac:dyDescent="0.25">
      <c r="A8" s="12"/>
      <c r="B8" s="12"/>
      <c r="C8" s="12"/>
      <c r="E8" s="20"/>
      <c r="F8" s="53" t="s">
        <v>21</v>
      </c>
      <c r="G8" s="20"/>
      <c r="H8" s="18"/>
      <c r="I8" s="21"/>
      <c r="J8" s="21"/>
      <c r="K8" s="21"/>
      <c r="L8" s="21"/>
      <c r="M8" s="12"/>
      <c r="N8" s="18"/>
    </row>
    <row r="9" spans="1:14" s="1" customFormat="1" ht="7.5" customHeight="1" x14ac:dyDescent="0.25">
      <c r="A9" s="25"/>
      <c r="B9" s="25"/>
      <c r="C9" s="12"/>
      <c r="D9" s="18"/>
      <c r="E9" s="12"/>
      <c r="F9" s="12"/>
      <c r="G9" s="12"/>
      <c r="H9" s="12"/>
      <c r="I9" s="12"/>
      <c r="J9" s="12"/>
      <c r="K9" s="18"/>
      <c r="L9" s="18"/>
      <c r="M9" s="12"/>
      <c r="N9" s="18"/>
    </row>
    <row r="10" spans="1:14" x14ac:dyDescent="0.25">
      <c r="A10" s="97" t="s">
        <v>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x14ac:dyDescent="0.25">
      <c r="A11" s="48" t="s">
        <v>10</v>
      </c>
      <c r="B11" s="49"/>
      <c r="C11" s="99">
        <v>5804020</v>
      </c>
      <c r="D11" s="99"/>
      <c r="E11" s="99"/>
      <c r="F11" s="26" t="s">
        <v>9</v>
      </c>
      <c r="G11" s="27"/>
      <c r="H11" s="27"/>
      <c r="I11" s="27"/>
      <c r="J11" s="27"/>
      <c r="K11" s="28"/>
      <c r="L11" s="28"/>
      <c r="M11" s="28"/>
      <c r="N11" s="29"/>
    </row>
    <row r="12" spans="1:14" x14ac:dyDescent="0.25">
      <c r="A12" s="50" t="s">
        <v>20</v>
      </c>
      <c r="B12" s="51"/>
      <c r="C12" s="30"/>
      <c r="D12" s="100">
        <v>1009392</v>
      </c>
      <c r="E12" s="100"/>
      <c r="F12" s="26" t="s">
        <v>9</v>
      </c>
      <c r="G12" s="27"/>
      <c r="H12" s="113" t="s">
        <v>657</v>
      </c>
      <c r="I12" s="113"/>
      <c r="J12" s="113"/>
      <c r="K12" s="113"/>
      <c r="L12" s="113"/>
      <c r="M12" s="113"/>
      <c r="N12" s="113"/>
    </row>
    <row r="13" spans="1:14" x14ac:dyDescent="0.25">
      <c r="A13" s="47" t="s">
        <v>654</v>
      </c>
      <c r="B13" s="29"/>
      <c r="C13" s="31"/>
      <c r="D13" s="32"/>
      <c r="E13" s="33"/>
      <c r="F13" s="34"/>
      <c r="G13" s="35"/>
      <c r="H13" s="35"/>
      <c r="I13" s="27"/>
      <c r="J13" s="27"/>
      <c r="K13" s="28"/>
      <c r="L13" s="28"/>
      <c r="M13" s="28"/>
      <c r="N13" s="29"/>
    </row>
    <row r="14" spans="1:14" ht="12.75" customHeight="1" x14ac:dyDescent="0.25">
      <c r="A14" s="95" t="s">
        <v>3</v>
      </c>
      <c r="B14" s="95" t="s">
        <v>17</v>
      </c>
      <c r="C14" s="93" t="s">
        <v>22</v>
      </c>
      <c r="D14" s="93" t="s">
        <v>18</v>
      </c>
      <c r="E14" s="105" t="s">
        <v>23</v>
      </c>
      <c r="F14" s="106"/>
      <c r="G14" s="107"/>
      <c r="H14" s="93" t="s">
        <v>4</v>
      </c>
      <c r="I14" s="105" t="s">
        <v>24</v>
      </c>
      <c r="J14" s="111"/>
      <c r="K14" s="111"/>
      <c r="L14" s="102"/>
      <c r="M14" s="101" t="s">
        <v>19</v>
      </c>
      <c r="N14" s="102"/>
    </row>
    <row r="15" spans="1:14" s="5" customFormat="1" ht="38.25" customHeight="1" x14ac:dyDescent="0.25">
      <c r="A15" s="96"/>
      <c r="B15" s="96"/>
      <c r="C15" s="96"/>
      <c r="D15" s="96"/>
      <c r="E15" s="108"/>
      <c r="F15" s="109"/>
      <c r="G15" s="110"/>
      <c r="H15" s="96"/>
      <c r="I15" s="103"/>
      <c r="J15" s="112"/>
      <c r="K15" s="112"/>
      <c r="L15" s="104"/>
      <c r="M15" s="103"/>
      <c r="N15" s="104"/>
    </row>
    <row r="16" spans="1:14" s="5" customFormat="1" ht="12.75" customHeight="1" x14ac:dyDescent="0.25">
      <c r="A16" s="96"/>
      <c r="B16" s="96"/>
      <c r="C16" s="96"/>
      <c r="D16" s="96"/>
      <c r="E16" s="36" t="s">
        <v>12</v>
      </c>
      <c r="F16" s="36" t="s">
        <v>14</v>
      </c>
      <c r="G16" s="93" t="s">
        <v>16</v>
      </c>
      <c r="H16" s="96"/>
      <c r="I16" s="93" t="s">
        <v>12</v>
      </c>
      <c r="J16" s="93" t="s">
        <v>15</v>
      </c>
      <c r="K16" s="36" t="s">
        <v>14</v>
      </c>
      <c r="L16" s="93" t="s">
        <v>16</v>
      </c>
      <c r="M16" s="95" t="s">
        <v>8</v>
      </c>
      <c r="N16" s="93" t="s">
        <v>12</v>
      </c>
    </row>
    <row r="17" spans="1:35" s="5" customFormat="1" ht="11.25" customHeight="1" x14ac:dyDescent="0.25">
      <c r="A17" s="94"/>
      <c r="B17" s="94"/>
      <c r="C17" s="94"/>
      <c r="D17" s="94"/>
      <c r="E17" s="37" t="s">
        <v>11</v>
      </c>
      <c r="F17" s="36" t="s">
        <v>13</v>
      </c>
      <c r="G17" s="94"/>
      <c r="H17" s="94"/>
      <c r="I17" s="94"/>
      <c r="J17" s="94"/>
      <c r="K17" s="36" t="s">
        <v>13</v>
      </c>
      <c r="L17" s="94"/>
      <c r="M17" s="94"/>
      <c r="N17" s="94"/>
    </row>
    <row r="18" spans="1:35" ht="17.399999999999999" x14ac:dyDescent="0.25">
      <c r="A18" s="57">
        <v>1</v>
      </c>
      <c r="B18" s="57">
        <v>2</v>
      </c>
      <c r="C18" s="57">
        <v>3</v>
      </c>
      <c r="D18" s="57">
        <v>4</v>
      </c>
      <c r="E18" s="57">
        <v>5</v>
      </c>
      <c r="F18" s="57">
        <v>6</v>
      </c>
      <c r="G18" s="57">
        <v>7</v>
      </c>
      <c r="H18" s="57">
        <v>8</v>
      </c>
      <c r="I18" s="57">
        <v>9</v>
      </c>
      <c r="J18" s="57">
        <v>10</v>
      </c>
      <c r="K18" s="57">
        <v>11</v>
      </c>
      <c r="L18" s="57">
        <v>12</v>
      </c>
      <c r="M18" s="57">
        <v>13</v>
      </c>
      <c r="N18" s="57">
        <v>14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58"/>
      <c r="AB18" s="59"/>
      <c r="AC18" s="59"/>
      <c r="AD18" s="59"/>
      <c r="AE18" s="59"/>
      <c r="AF18" s="60"/>
      <c r="AG18" s="61"/>
      <c r="AH18" s="61"/>
      <c r="AI18" s="61"/>
    </row>
    <row r="19" spans="1:35" ht="18.45" customHeight="1" x14ac:dyDescent="0.25">
      <c r="A19" s="90" t="s">
        <v>28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91.2" x14ac:dyDescent="0.3">
      <c r="A20" s="62">
        <v>1</v>
      </c>
      <c r="B20" s="63" t="s">
        <v>29</v>
      </c>
      <c r="C20" s="64" t="str">
        <f t="shared" ref="C20:C29" ca="1" si="0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Разборка: кирпичных стен
---------------------------------------------------------------------
1 м3
---------------------------------------------------------------------28577 руб. НР 84%=110%*(0.9*0.85) от ФОТ (34020 руб.)
16330 руб. СП 48%=70%*(0.85*0.8) от ФОТ (34020 руб.)
</v>
      </c>
      <c r="D20" s="65" t="s">
        <v>30</v>
      </c>
      <c r="E20" s="66" t="s">
        <v>31</v>
      </c>
      <c r="F20" s="66" t="s">
        <v>32</v>
      </c>
      <c r="G20" s="66" t="s">
        <v>33</v>
      </c>
      <c r="H20" s="67" t="s">
        <v>34</v>
      </c>
      <c r="I20" s="68">
        <v>48296</v>
      </c>
      <c r="J20" s="66">
        <v>29372</v>
      </c>
      <c r="K20" s="66" t="s">
        <v>35</v>
      </c>
      <c r="L20" s="66" t="str">
        <f>IF(23.8*0=0," ",TEXT(,ROUND((23.8*0*1),0)))</f>
        <v xml:space="preserve"> </v>
      </c>
      <c r="M20" s="66" t="s">
        <v>36</v>
      </c>
      <c r="N20" s="66" t="s">
        <v>37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 t="s">
        <v>38</v>
      </c>
      <c r="AB20" s="70" t="s">
        <v>39</v>
      </c>
      <c r="AC20" s="70">
        <v>28577</v>
      </c>
      <c r="AD20" s="70">
        <v>16330</v>
      </c>
      <c r="AE20" s="70"/>
      <c r="AF20" s="71" t="s">
        <v>40</v>
      </c>
      <c r="AG20" s="70" t="s">
        <v>41</v>
      </c>
      <c r="AH20" s="70"/>
      <c r="AI20" s="70">
        <f>29372+4648</f>
        <v>34020</v>
      </c>
    </row>
    <row r="21" spans="1:35" ht="79.8" x14ac:dyDescent="0.3">
      <c r="A21" s="62">
        <v>2</v>
      </c>
      <c r="B21" s="63" t="s">
        <v>42</v>
      </c>
      <c r="C21" s="64" t="str">
        <f t="shared" ca="1" si="0"/>
        <v xml:space="preserve">Разборка парапетных решеток
---------------------------------------------------------------------
100 м парапетных решеток
---------------------------------------------------------------------2640 руб. НР 71%=83%*0.85 от ФОТ (3718 руб.)
1933 руб. СП 52%=65%*0.8 от ФОТ (3718 руб.)
</v>
      </c>
      <c r="D21" s="65">
        <v>1.89</v>
      </c>
      <c r="E21" s="66" t="s">
        <v>43</v>
      </c>
      <c r="F21" s="66">
        <v>1.62</v>
      </c>
      <c r="G21" s="66" t="s">
        <v>33</v>
      </c>
      <c r="H21" s="67" t="s">
        <v>44</v>
      </c>
      <c r="I21" s="68">
        <v>3732</v>
      </c>
      <c r="J21" s="66">
        <v>3718</v>
      </c>
      <c r="K21" s="66">
        <v>14</v>
      </c>
      <c r="L21" s="66" t="str">
        <f>IF(1.89*0=0," ",TEXT(,ROUND((1.89*0*1),0)))</f>
        <v xml:space="preserve"> </v>
      </c>
      <c r="M21" s="66">
        <v>14.8</v>
      </c>
      <c r="N21" s="66">
        <v>27.97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 t="s">
        <v>45</v>
      </c>
      <c r="AB21" s="70" t="s">
        <v>46</v>
      </c>
      <c r="AC21" s="70">
        <v>2640</v>
      </c>
      <c r="AD21" s="70">
        <v>1933</v>
      </c>
      <c r="AE21" s="70"/>
      <c r="AF21" s="71" t="s">
        <v>47</v>
      </c>
      <c r="AG21" s="70" t="s">
        <v>48</v>
      </c>
      <c r="AH21" s="70"/>
      <c r="AI21" s="70">
        <f>3718+0</f>
        <v>3718</v>
      </c>
    </row>
    <row r="22" spans="1:35" ht="79.8" x14ac:dyDescent="0.3">
      <c r="A22" s="62">
        <v>3</v>
      </c>
      <c r="B22" s="63" t="s">
        <v>49</v>
      </c>
      <c r="C22" s="64" t="str">
        <f t="shared" ca="1" si="0"/>
        <v xml:space="preserve">Разборка покрытий кровель: из листовой стали
---------------------------------------------------------------------
100 м2 покрытия
---------------------------------------------------------------------14054 руб. НР 84%=110%*(0.9*0.85) от ФОТ (16731 руб.)
8031 руб. СП 48%=70%*(0.85*0.8) от ФОТ (16731 руб.)
</v>
      </c>
      <c r="D22" s="65">
        <v>14.785</v>
      </c>
      <c r="E22" s="66" t="s">
        <v>50</v>
      </c>
      <c r="F22" s="66">
        <v>12.52</v>
      </c>
      <c r="G22" s="66" t="s">
        <v>33</v>
      </c>
      <c r="H22" s="67" t="s">
        <v>51</v>
      </c>
      <c r="I22" s="68">
        <v>17284</v>
      </c>
      <c r="J22" s="66">
        <v>16731</v>
      </c>
      <c r="K22" s="66">
        <v>553</v>
      </c>
      <c r="L22" s="66" t="str">
        <f>IF(14.785*0=0," ",TEXT(,ROUND((14.785*0*1),0)))</f>
        <v xml:space="preserve"> </v>
      </c>
      <c r="M22" s="66">
        <v>8.58</v>
      </c>
      <c r="N22" s="66">
        <v>126.86</v>
      </c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 t="s">
        <v>38</v>
      </c>
      <c r="AB22" s="70" t="s">
        <v>39</v>
      </c>
      <c r="AC22" s="70">
        <v>14054</v>
      </c>
      <c r="AD22" s="70">
        <v>8031</v>
      </c>
      <c r="AE22" s="70"/>
      <c r="AF22" s="71" t="s">
        <v>52</v>
      </c>
      <c r="AG22" s="70" t="s">
        <v>53</v>
      </c>
      <c r="AH22" s="70"/>
      <c r="AI22" s="70">
        <f>16731+0</f>
        <v>16731</v>
      </c>
    </row>
    <row r="23" spans="1:35" ht="79.8" x14ac:dyDescent="0.3">
      <c r="A23" s="62">
        <v>4</v>
      </c>
      <c r="B23" s="63" t="s">
        <v>54</v>
      </c>
      <c r="C23" s="64" t="str">
        <f t="shared" ca="1" si="0"/>
        <v xml:space="preserve">Разборка слуховых окон: прямоугольных односкатных
---------------------------------------------------------------------
100 окон
---------------------------------------------------------------------1188 руб. НР 71%=83%*0.85 от ФОТ (1673 руб.)
870 руб. СП 52%=65%*0.8 от ФОТ (1673 руб.)
</v>
      </c>
      <c r="D23" s="65">
        <v>0.04</v>
      </c>
      <c r="E23" s="66" t="s">
        <v>55</v>
      </c>
      <c r="F23" s="66">
        <v>10.37</v>
      </c>
      <c r="G23" s="66" t="s">
        <v>33</v>
      </c>
      <c r="H23" s="67" t="s">
        <v>56</v>
      </c>
      <c r="I23" s="68">
        <v>1673</v>
      </c>
      <c r="J23" s="66">
        <v>1673</v>
      </c>
      <c r="K23" s="66"/>
      <c r="L23" s="66" t="str">
        <f>IF(0.04*0=0," ",TEXT(,ROUND((0.04*0*1),0)))</f>
        <v xml:space="preserve"> </v>
      </c>
      <c r="M23" s="66">
        <v>309.3</v>
      </c>
      <c r="N23" s="66">
        <v>12.37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 t="s">
        <v>45</v>
      </c>
      <c r="AB23" s="70" t="s">
        <v>46</v>
      </c>
      <c r="AC23" s="70">
        <v>1188</v>
      </c>
      <c r="AD23" s="70">
        <v>870</v>
      </c>
      <c r="AE23" s="70"/>
      <c r="AF23" s="71" t="s">
        <v>57</v>
      </c>
      <c r="AG23" s="70" t="s">
        <v>58</v>
      </c>
      <c r="AH23" s="70"/>
      <c r="AI23" s="70">
        <f>1673+0</f>
        <v>1673</v>
      </c>
    </row>
    <row r="24" spans="1:35" ht="91.2" x14ac:dyDescent="0.3">
      <c r="A24" s="62">
        <v>5</v>
      </c>
      <c r="B24" s="63" t="s">
        <v>59</v>
      </c>
      <c r="C24" s="64" t="str">
        <f t="shared" ca="1" si="0"/>
        <v xml:space="preserve">Разборка деревянных элементов конструкций крыш: обрешетки из брусков с прозорами
---------------------------------------------------------------------
100 м2 кровли
---------------------------------------------------------------------22462 руб. НР 71%=83%*0.85 от ФОТ (31637 руб.)
16451 руб. СП 52%=65%*0.8 от ФОТ (31637 руб.)
</v>
      </c>
      <c r="D24" s="65">
        <v>14.785</v>
      </c>
      <c r="E24" s="66" t="s">
        <v>60</v>
      </c>
      <c r="F24" s="66" t="s">
        <v>61</v>
      </c>
      <c r="G24" s="66" t="s">
        <v>33</v>
      </c>
      <c r="H24" s="67" t="s">
        <v>62</v>
      </c>
      <c r="I24" s="68">
        <v>37196</v>
      </c>
      <c r="J24" s="66">
        <v>30082</v>
      </c>
      <c r="K24" s="66" t="s">
        <v>63</v>
      </c>
      <c r="L24" s="66" t="str">
        <f>IF(14.785*0=0," ",TEXT(,ROUND((14.785*0*1),0)))</f>
        <v xml:space="preserve"> </v>
      </c>
      <c r="M24" s="66" t="s">
        <v>64</v>
      </c>
      <c r="N24" s="66" t="s">
        <v>65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0" t="s">
        <v>45</v>
      </c>
      <c r="AB24" s="70" t="s">
        <v>46</v>
      </c>
      <c r="AC24" s="70">
        <v>22462</v>
      </c>
      <c r="AD24" s="70">
        <v>16451</v>
      </c>
      <c r="AE24" s="70"/>
      <c r="AF24" s="71" t="s">
        <v>66</v>
      </c>
      <c r="AG24" s="70" t="s">
        <v>67</v>
      </c>
      <c r="AH24" s="70"/>
      <c r="AI24" s="70">
        <f>30082+1555</f>
        <v>31637</v>
      </c>
    </row>
    <row r="25" spans="1:35" ht="91.2" x14ac:dyDescent="0.3">
      <c r="A25" s="62">
        <v>6</v>
      </c>
      <c r="B25" s="63" t="s">
        <v>68</v>
      </c>
      <c r="C25" s="64" t="str">
        <f t="shared" ca="1" si="0"/>
        <v xml:space="preserve">Разборка деревянных элементов конструкций крыш: стропил со стойками и подкосами из досок
---------------------------------------------------------------------
100 м2 кровли
---------------------------------------------------------------------33249 руб. НР 71%=83%*0.85 от ФОТ (46830 руб.)
24352 руб. СП 52%=65%*0.8 от ФОТ (46830 руб.)
</v>
      </c>
      <c r="D25" s="65">
        <v>14.785</v>
      </c>
      <c r="E25" s="66" t="s">
        <v>69</v>
      </c>
      <c r="F25" s="66" t="s">
        <v>70</v>
      </c>
      <c r="G25" s="66" t="s">
        <v>33</v>
      </c>
      <c r="H25" s="67" t="s">
        <v>62</v>
      </c>
      <c r="I25" s="68">
        <v>50334</v>
      </c>
      <c r="J25" s="66">
        <v>45850</v>
      </c>
      <c r="K25" s="66" t="s">
        <v>71</v>
      </c>
      <c r="L25" s="66" t="str">
        <f>IF(14.785*0=0," ",TEXT(,ROUND((14.785*0*1),0)))</f>
        <v xml:space="preserve"> </v>
      </c>
      <c r="M25" s="66" t="s">
        <v>72</v>
      </c>
      <c r="N25" s="66" t="s">
        <v>73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 t="s">
        <v>45</v>
      </c>
      <c r="AB25" s="70" t="s">
        <v>46</v>
      </c>
      <c r="AC25" s="70">
        <v>33249</v>
      </c>
      <c r="AD25" s="70">
        <v>24352</v>
      </c>
      <c r="AE25" s="70"/>
      <c r="AF25" s="71" t="s">
        <v>74</v>
      </c>
      <c r="AG25" s="70" t="s">
        <v>67</v>
      </c>
      <c r="AH25" s="70"/>
      <c r="AI25" s="70">
        <f>45850+980</f>
        <v>46830</v>
      </c>
    </row>
    <row r="26" spans="1:35" ht="91.2" x14ac:dyDescent="0.3">
      <c r="A26" s="62">
        <v>7</v>
      </c>
      <c r="B26" s="63" t="s">
        <v>75</v>
      </c>
      <c r="C26" s="64" t="str">
        <f t="shared" ca="1" si="0"/>
        <v xml:space="preserve">Разборка деревянных элементов конструкций крыш: мауэрлатов
---------------------------------------------------------------------
100 м2 кровли
---------------------------------------------------------------------10127 руб. НР 71%=83%*0.85 от ФОТ (14264 руб.)
7417 руб. СП 52%=65%*0.8 от ФОТ (14264 руб.)
</v>
      </c>
      <c r="D26" s="65">
        <v>14.785</v>
      </c>
      <c r="E26" s="66" t="s">
        <v>76</v>
      </c>
      <c r="F26" s="66" t="s">
        <v>77</v>
      </c>
      <c r="G26" s="66" t="s">
        <v>33</v>
      </c>
      <c r="H26" s="67" t="s">
        <v>62</v>
      </c>
      <c r="I26" s="68">
        <v>17532</v>
      </c>
      <c r="J26" s="66">
        <v>13351</v>
      </c>
      <c r="K26" s="66" t="s">
        <v>78</v>
      </c>
      <c r="L26" s="66" t="str">
        <f>IF(14.785*0=0," ",TEXT(,ROUND((14.785*0*1),0)))</f>
        <v xml:space="preserve"> </v>
      </c>
      <c r="M26" s="66" t="s">
        <v>79</v>
      </c>
      <c r="N26" s="66" t="s">
        <v>80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 t="s">
        <v>45</v>
      </c>
      <c r="AB26" s="70" t="s">
        <v>46</v>
      </c>
      <c r="AC26" s="70">
        <v>10127</v>
      </c>
      <c r="AD26" s="70">
        <v>7417</v>
      </c>
      <c r="AE26" s="70"/>
      <c r="AF26" s="71" t="s">
        <v>81</v>
      </c>
      <c r="AG26" s="70" t="s">
        <v>67</v>
      </c>
      <c r="AH26" s="70"/>
      <c r="AI26" s="70">
        <f>13351+913</f>
        <v>14264</v>
      </c>
    </row>
    <row r="27" spans="1:35" ht="57" x14ac:dyDescent="0.3">
      <c r="A27" s="62">
        <v>8</v>
      </c>
      <c r="B27" s="63" t="s">
        <v>82</v>
      </c>
      <c r="C27" s="64" t="str">
        <f t="shared" ca="1" si="0"/>
        <v xml:space="preserve">Погрузочные работы при автомобильных перевозках: мусора строительного с погрузкой вручную
---------------------------------------------------------------------
1 т груза
</v>
      </c>
      <c r="D27" s="65">
        <v>1</v>
      </c>
      <c r="E27" s="66">
        <v>42.98</v>
      </c>
      <c r="F27" s="66">
        <v>42.98</v>
      </c>
      <c r="G27" s="66" t="s">
        <v>33</v>
      </c>
      <c r="H27" s="67" t="s">
        <v>83</v>
      </c>
      <c r="I27" s="68">
        <v>479</v>
      </c>
      <c r="J27" s="66"/>
      <c r="K27" s="66">
        <v>479</v>
      </c>
      <c r="L27" s="66" t="str">
        <f>IF(1*0=0," ",TEXT(,ROUND((1*0*1),0)))</f>
        <v xml:space="preserve"> </v>
      </c>
      <c r="M27" s="66"/>
      <c r="N27" s="66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 t="s">
        <v>84</v>
      </c>
      <c r="AB27" s="70" t="s">
        <v>85</v>
      </c>
      <c r="AC27" s="70"/>
      <c r="AD27" s="70"/>
      <c r="AE27" s="70"/>
      <c r="AF27" s="71" t="s">
        <v>86</v>
      </c>
      <c r="AG27" s="70" t="s">
        <v>87</v>
      </c>
      <c r="AH27" s="70"/>
      <c r="AI27" s="70">
        <f>0+0</f>
        <v>0</v>
      </c>
    </row>
    <row r="28" spans="1:35" ht="68.400000000000006" x14ac:dyDescent="0.3">
      <c r="A28" s="62">
        <v>9</v>
      </c>
      <c r="B28" s="63" t="s">
        <v>88</v>
      </c>
      <c r="C28" s="64" t="str">
        <f t="shared" ca="1" si="0"/>
        <v xml:space="preserve">Погрузочные работы при автомобильных перевозках: мусора строительного с погрузкой экскаваторами емкостью ковша до 0,5 м3
---------------------------------------------------------------------
1 т груза
</v>
      </c>
      <c r="D28" s="65" t="s">
        <v>89</v>
      </c>
      <c r="E28" s="66">
        <v>3.53</v>
      </c>
      <c r="F28" s="66">
        <v>3.53</v>
      </c>
      <c r="G28" s="66" t="s">
        <v>33</v>
      </c>
      <c r="H28" s="67" t="s">
        <v>90</v>
      </c>
      <c r="I28" s="68">
        <v>4164</v>
      </c>
      <c r="J28" s="66"/>
      <c r="K28" s="66">
        <v>4164</v>
      </c>
      <c r="L28" s="66" t="str">
        <f>IF(101.56145*0=0," ",TEXT(,ROUND((101.56145*0*1),0)))</f>
        <v xml:space="preserve"> </v>
      </c>
      <c r="M28" s="66"/>
      <c r="N28" s="66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 t="s">
        <v>84</v>
      </c>
      <c r="AB28" s="70" t="s">
        <v>85</v>
      </c>
      <c r="AC28" s="70"/>
      <c r="AD28" s="70"/>
      <c r="AE28" s="70"/>
      <c r="AF28" s="71" t="s">
        <v>91</v>
      </c>
      <c r="AG28" s="70" t="s">
        <v>87</v>
      </c>
      <c r="AH28" s="70"/>
      <c r="AI28" s="70">
        <f>0+0</f>
        <v>0</v>
      </c>
    </row>
    <row r="29" spans="1:35" ht="68.400000000000006" x14ac:dyDescent="0.3">
      <c r="A29" s="72">
        <v>10</v>
      </c>
      <c r="B29" s="73" t="s">
        <v>92</v>
      </c>
      <c r="C29" s="74" t="str">
        <f t="shared" ca="1" si="0"/>
        <v xml:space="preserve">Перевозка грузов автомобилями-самосвалами грузоподъемностью 10 т, работающих вне карьера, на расстояние: до 25 км I класс груза
---------------------------------------------------------------------
1 т груза
</v>
      </c>
      <c r="D29" s="75">
        <v>102.56144999999999</v>
      </c>
      <c r="E29" s="76">
        <v>17.32</v>
      </c>
      <c r="F29" s="76">
        <v>17.32</v>
      </c>
      <c r="G29" s="76" t="s">
        <v>33</v>
      </c>
      <c r="H29" s="77" t="s">
        <v>93</v>
      </c>
      <c r="I29" s="78">
        <v>17476</v>
      </c>
      <c r="J29" s="76"/>
      <c r="K29" s="76">
        <v>17476</v>
      </c>
      <c r="L29" s="76" t="str">
        <f>IF(102.56145*0=0," ",TEXT(,ROUND((102.56145*0*1),0)))</f>
        <v xml:space="preserve"> </v>
      </c>
      <c r="M29" s="76"/>
      <c r="N29" s="76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70" t="s">
        <v>84</v>
      </c>
      <c r="AB29" s="70" t="s">
        <v>85</v>
      </c>
      <c r="AC29" s="70"/>
      <c r="AD29" s="70"/>
      <c r="AE29" s="70"/>
      <c r="AF29" s="71" t="s">
        <v>94</v>
      </c>
      <c r="AG29" s="70" t="s">
        <v>87</v>
      </c>
      <c r="AH29" s="70"/>
      <c r="AI29" s="70">
        <f>0+0</f>
        <v>0</v>
      </c>
    </row>
    <row r="30" spans="1:35" ht="34.200000000000003" x14ac:dyDescent="0.3">
      <c r="A30" s="85" t="s">
        <v>95</v>
      </c>
      <c r="B30" s="84"/>
      <c r="C30" s="84"/>
      <c r="D30" s="84"/>
      <c r="E30" s="84"/>
      <c r="F30" s="84"/>
      <c r="G30" s="84"/>
      <c r="H30" s="84"/>
      <c r="I30" s="68">
        <v>14545</v>
      </c>
      <c r="J30" s="66">
        <v>8330</v>
      </c>
      <c r="K30" s="66" t="s">
        <v>96</v>
      </c>
      <c r="L30" s="66"/>
      <c r="M30" s="66"/>
      <c r="N30" s="66" t="s">
        <v>97</v>
      </c>
      <c r="O30" s="9"/>
      <c r="P30" s="10"/>
      <c r="Q30" s="9"/>
      <c r="R30" s="9"/>
      <c r="S30" s="9"/>
      <c r="T30" s="9"/>
      <c r="U30" s="9"/>
      <c r="V30" s="9"/>
      <c r="W30" s="9"/>
      <c r="X30" s="9"/>
      <c r="Y30" s="9"/>
      <c r="Z30" s="9"/>
      <c r="AF30" s="11"/>
    </row>
    <row r="31" spans="1:35" ht="34.200000000000003" x14ac:dyDescent="0.3">
      <c r="A31" s="85" t="s">
        <v>98</v>
      </c>
      <c r="B31" s="84"/>
      <c r="C31" s="84"/>
      <c r="D31" s="84"/>
      <c r="E31" s="84"/>
      <c r="F31" s="84"/>
      <c r="G31" s="84"/>
      <c r="H31" s="84"/>
      <c r="I31" s="68">
        <v>198166</v>
      </c>
      <c r="J31" s="66">
        <v>140777</v>
      </c>
      <c r="K31" s="66" t="s">
        <v>99</v>
      </c>
      <c r="L31" s="66"/>
      <c r="M31" s="66"/>
      <c r="N31" s="66" t="s">
        <v>97</v>
      </c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F31" s="11"/>
    </row>
    <row r="32" spans="1:35" x14ac:dyDescent="0.25">
      <c r="A32" s="85" t="s">
        <v>100</v>
      </c>
      <c r="B32" s="84"/>
      <c r="C32" s="84"/>
      <c r="D32" s="84"/>
      <c r="E32" s="84"/>
      <c r="F32" s="84"/>
      <c r="G32" s="84"/>
      <c r="H32" s="84"/>
      <c r="I32" s="68">
        <v>112297</v>
      </c>
      <c r="J32" s="66"/>
      <c r="K32" s="66"/>
      <c r="L32" s="66"/>
      <c r="M32" s="66"/>
      <c r="N32" s="66"/>
      <c r="O32" s="9"/>
      <c r="P32" s="10"/>
      <c r="Q32" s="9"/>
      <c r="R32" s="9"/>
      <c r="S32" s="9"/>
      <c r="T32" s="7"/>
      <c r="U32" s="7"/>
      <c r="V32" s="7"/>
      <c r="W32" s="7"/>
      <c r="X32" s="7"/>
      <c r="Y32" s="7"/>
      <c r="Z32" s="7"/>
    </row>
    <row r="33" spans="1:35" x14ac:dyDescent="0.25">
      <c r="A33" s="85" t="s">
        <v>101</v>
      </c>
      <c r="B33" s="84"/>
      <c r="C33" s="84"/>
      <c r="D33" s="84"/>
      <c r="E33" s="84"/>
      <c r="F33" s="84"/>
      <c r="G33" s="84"/>
      <c r="H33" s="84"/>
      <c r="I33" s="68">
        <v>75384</v>
      </c>
      <c r="J33" s="66"/>
      <c r="K33" s="66"/>
      <c r="L33" s="66"/>
      <c r="M33" s="66"/>
      <c r="N33" s="66"/>
      <c r="O33" s="9"/>
      <c r="P33" s="10"/>
      <c r="Q33" s="9"/>
      <c r="R33" s="9"/>
      <c r="S33" s="9"/>
    </row>
    <row r="34" spans="1:35" ht="34.200000000000003" x14ac:dyDescent="0.25">
      <c r="A34" s="86" t="s">
        <v>102</v>
      </c>
      <c r="B34" s="87"/>
      <c r="C34" s="87"/>
      <c r="D34" s="87"/>
      <c r="E34" s="87"/>
      <c r="F34" s="87"/>
      <c r="G34" s="87"/>
      <c r="H34" s="87"/>
      <c r="I34" s="78">
        <v>385847</v>
      </c>
      <c r="J34" s="76"/>
      <c r="K34" s="76"/>
      <c r="L34" s="76"/>
      <c r="M34" s="76"/>
      <c r="N34" s="76" t="s">
        <v>97</v>
      </c>
      <c r="O34" s="9"/>
      <c r="P34" s="10"/>
      <c r="Q34" s="9"/>
      <c r="R34" s="9"/>
      <c r="S34" s="9"/>
    </row>
    <row r="35" spans="1:35" ht="18.45" customHeight="1" x14ac:dyDescent="0.25">
      <c r="A35" s="90" t="s">
        <v>103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</row>
    <row r="36" spans="1:35" ht="125.4" x14ac:dyDescent="0.25">
      <c r="A36" s="62">
        <v>11</v>
      </c>
      <c r="B36" s="63" t="s">
        <v>104</v>
      </c>
      <c r="C36" s="64" t="str">
        <f t="shared" ref="C36:C48" ca="1" si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Смена: прямых звеньев водосточных труб с земли, лестниц или подмостей
---------------------------------------------------------------------
100 м
---------------------------------------------------------------------КОЭФ. К ПОЗИЦИИ:
МАТ=0 к расх.
---------------------------------------------------------------------1512 руб. НР 71%=83%*0.85 от ФОТ (2129 руб.)
1107 руб. СП 52%=65%*0.8 от ФОТ (2129 руб.)
</v>
      </c>
      <c r="D36" s="65">
        <v>0.4</v>
      </c>
      <c r="E36" s="66" t="s">
        <v>105</v>
      </c>
      <c r="F36" s="66">
        <v>11.33</v>
      </c>
      <c r="G36" s="66" t="s">
        <v>33</v>
      </c>
      <c r="H36" s="67" t="s">
        <v>106</v>
      </c>
      <c r="I36" s="68">
        <v>2176</v>
      </c>
      <c r="J36" s="66">
        <v>2129</v>
      </c>
      <c r="K36" s="66">
        <v>47</v>
      </c>
      <c r="L36" s="66" t="str">
        <f>IF(0.4*0=0," ",TEXT(,ROUND((0.4*0*2.65),0)))</f>
        <v xml:space="preserve"> </v>
      </c>
      <c r="M36" s="66">
        <v>36.799999999999997</v>
      </c>
      <c r="N36" s="66">
        <v>14.72</v>
      </c>
      <c r="O36" s="69"/>
      <c r="P36" s="69"/>
      <c r="Q36" s="69"/>
      <c r="R36" s="69"/>
      <c r="S36" s="69"/>
      <c r="T36" s="70"/>
      <c r="U36" s="70"/>
      <c r="V36" s="70"/>
      <c r="W36" s="70"/>
      <c r="X36" s="70"/>
      <c r="Y36" s="70"/>
      <c r="Z36" s="70"/>
      <c r="AA36" s="70" t="s">
        <v>45</v>
      </c>
      <c r="AB36" s="70" t="s">
        <v>46</v>
      </c>
      <c r="AC36" s="70">
        <v>1512</v>
      </c>
      <c r="AD36" s="70">
        <v>1107</v>
      </c>
      <c r="AE36" s="79" t="s">
        <v>107</v>
      </c>
      <c r="AF36" s="70" t="s">
        <v>108</v>
      </c>
      <c r="AG36" s="70" t="s">
        <v>109</v>
      </c>
      <c r="AH36" s="70"/>
      <c r="AI36" s="70">
        <f>2129+0</f>
        <v>2129</v>
      </c>
    </row>
    <row r="37" spans="1:35" ht="114" x14ac:dyDescent="0.25">
      <c r="A37" s="62">
        <v>12</v>
      </c>
      <c r="B37" s="63" t="s">
        <v>110</v>
      </c>
      <c r="C37" s="64" t="str">
        <f t="shared" ca="1" si="1"/>
        <v xml:space="preserve">Смена: прямых звеньев водосточных труб с люлек
---------------------------------------------------------------------
100 м
---------------------------------------------------------------------КОЭФ. К ПОЗИЦИИ:
МАТ=0 к расх.
---------------------------------------------------------------------11603 руб. НР 71%=83%*0.85 от ФОТ (16342 руб.)
8498 руб. СП 52%=65%*0.8 от ФОТ (16342 руб.)
</v>
      </c>
      <c r="D37" s="65">
        <v>1.28</v>
      </c>
      <c r="E37" s="66" t="s">
        <v>111</v>
      </c>
      <c r="F37" s="66">
        <v>6.97</v>
      </c>
      <c r="G37" s="66" t="s">
        <v>33</v>
      </c>
      <c r="H37" s="67" t="s">
        <v>112</v>
      </c>
      <c r="I37" s="68">
        <v>16448</v>
      </c>
      <c r="J37" s="66">
        <v>16342</v>
      </c>
      <c r="K37" s="66">
        <v>106</v>
      </c>
      <c r="L37" s="66" t="str">
        <f>IF(1.28*0=0," ",TEXT(,ROUND((1.28*0*2.65),0)))</f>
        <v xml:space="preserve"> </v>
      </c>
      <c r="M37" s="66">
        <v>88.6</v>
      </c>
      <c r="N37" s="66">
        <v>113.41</v>
      </c>
      <c r="O37" s="69"/>
      <c r="P37" s="69"/>
      <c r="Q37" s="69"/>
      <c r="R37" s="69"/>
      <c r="S37" s="69"/>
      <c r="T37" s="70"/>
      <c r="U37" s="70"/>
      <c r="V37" s="70"/>
      <c r="W37" s="70"/>
      <c r="X37" s="70"/>
      <c r="Y37" s="70"/>
      <c r="Z37" s="70"/>
      <c r="AA37" s="70" t="s">
        <v>45</v>
      </c>
      <c r="AB37" s="70" t="s">
        <v>46</v>
      </c>
      <c r="AC37" s="70">
        <v>11603</v>
      </c>
      <c r="AD37" s="70">
        <v>8498</v>
      </c>
      <c r="AE37" s="79" t="s">
        <v>107</v>
      </c>
      <c r="AF37" s="70" t="s">
        <v>113</v>
      </c>
      <c r="AG37" s="70" t="s">
        <v>109</v>
      </c>
      <c r="AH37" s="70"/>
      <c r="AI37" s="70">
        <f>16342+0</f>
        <v>16342</v>
      </c>
    </row>
    <row r="38" spans="1:35" ht="66" x14ac:dyDescent="0.25">
      <c r="A38" s="62">
        <v>13</v>
      </c>
      <c r="B38" s="63" t="s">
        <v>114</v>
      </c>
      <c r="C38" s="64" t="str">
        <f t="shared" ca="1" si="1"/>
        <v xml:space="preserve">Труба водосточная МП, диаметр 150х1000 мм, полиэстер (стандартный цвет)
---------------------------------------------------------------------
шт.
</v>
      </c>
      <c r="D38" s="65" t="s">
        <v>115</v>
      </c>
      <c r="E38" s="66">
        <v>119.27</v>
      </c>
      <c r="F38" s="66"/>
      <c r="G38" s="66" t="s">
        <v>116</v>
      </c>
      <c r="H38" s="67" t="s">
        <v>117</v>
      </c>
      <c r="I38" s="68">
        <v>9459</v>
      </c>
      <c r="J38" s="66"/>
      <c r="K38" s="66"/>
      <c r="L38" s="66" t="str">
        <f>IF(28*119.27=0," ",TEXT(,ROUND((28*119.27*2.832),0)))</f>
        <v>9458</v>
      </c>
      <c r="M38" s="66"/>
      <c r="N38" s="66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 t="s">
        <v>118</v>
      </c>
      <c r="AG38" s="70" t="s">
        <v>119</v>
      </c>
      <c r="AH38" s="70"/>
      <c r="AI38" s="70">
        <f>0+0</f>
        <v>0</v>
      </c>
    </row>
    <row r="39" spans="1:35" ht="66" x14ac:dyDescent="0.25">
      <c r="A39" s="62">
        <v>14</v>
      </c>
      <c r="B39" s="63" t="s">
        <v>120</v>
      </c>
      <c r="C39" s="64" t="str">
        <f t="shared" ca="1" si="1"/>
        <v xml:space="preserve">Труба водосточная МП, диаметр 150х3000 мм, полиэстер (стандартный цвет)
---------------------------------------------------------------------
шт.
</v>
      </c>
      <c r="D39" s="65" t="s">
        <v>121</v>
      </c>
      <c r="E39" s="66">
        <v>357.8</v>
      </c>
      <c r="F39" s="66"/>
      <c r="G39" s="66" t="s">
        <v>122</v>
      </c>
      <c r="H39" s="67" t="s">
        <v>123</v>
      </c>
      <c r="I39" s="68">
        <v>56504</v>
      </c>
      <c r="J39" s="66"/>
      <c r="K39" s="66"/>
      <c r="L39" s="66" t="str">
        <f>IF(56*357.8=0," ",TEXT(,ROUND((56*357.8*2.82),0)))</f>
        <v>56504</v>
      </c>
      <c r="M39" s="66"/>
      <c r="N39" s="66"/>
      <c r="O39" s="69"/>
      <c r="P39" s="69"/>
      <c r="Q39" s="69"/>
      <c r="R39" s="69"/>
      <c r="S39" s="69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 t="s">
        <v>124</v>
      </c>
      <c r="AG39" s="70" t="s">
        <v>119</v>
      </c>
      <c r="AH39" s="70"/>
      <c r="AI39" s="70">
        <f>0+0</f>
        <v>0</v>
      </c>
    </row>
    <row r="40" spans="1:35" ht="125.4" x14ac:dyDescent="0.25">
      <c r="A40" s="62">
        <v>15</v>
      </c>
      <c r="B40" s="63" t="s">
        <v>125</v>
      </c>
      <c r="C40" s="64" t="str">
        <f t="shared" ca="1" si="1"/>
        <v xml:space="preserve">Смена: колен водосточных труб с земли, лестниц и подмостей
---------------------------------------------------------------------
100 шт.
---------------------------------------------------------------------КОЭФ. К ПОЗИЦИИ:
МАТ=0 к расх.
---------------------------------------------------------------------1836 руб. НР 71%=83%*0.85 от ФОТ (2586 руб.)
1345 руб. СП 52%=65%*0.8 от ФОТ (2586 руб.)
</v>
      </c>
      <c r="D40" s="65">
        <v>0.28000000000000003</v>
      </c>
      <c r="E40" s="66" t="s">
        <v>126</v>
      </c>
      <c r="F40" s="66">
        <v>6.97</v>
      </c>
      <c r="G40" s="66" t="s">
        <v>33</v>
      </c>
      <c r="H40" s="67" t="s">
        <v>127</v>
      </c>
      <c r="I40" s="68">
        <v>2610</v>
      </c>
      <c r="J40" s="66">
        <v>2586</v>
      </c>
      <c r="K40" s="66">
        <v>24</v>
      </c>
      <c r="L40" s="66" t="str">
        <f>IF(0.28*0=0," ",TEXT(,ROUND((0.28*0*4.01),0)))</f>
        <v xml:space="preserve"> </v>
      </c>
      <c r="M40" s="66">
        <v>63.9</v>
      </c>
      <c r="N40" s="66">
        <v>17.89</v>
      </c>
      <c r="O40" s="69"/>
      <c r="P40" s="69"/>
      <c r="Q40" s="69"/>
      <c r="R40" s="69"/>
      <c r="S40" s="69"/>
      <c r="T40" s="70"/>
      <c r="U40" s="70"/>
      <c r="V40" s="70"/>
      <c r="W40" s="70"/>
      <c r="X40" s="70"/>
      <c r="Y40" s="70"/>
      <c r="Z40" s="70"/>
      <c r="AA40" s="70" t="s">
        <v>45</v>
      </c>
      <c r="AB40" s="70" t="s">
        <v>46</v>
      </c>
      <c r="AC40" s="70">
        <v>1836</v>
      </c>
      <c r="AD40" s="70">
        <v>1345</v>
      </c>
      <c r="AE40" s="79" t="s">
        <v>107</v>
      </c>
      <c r="AF40" s="70" t="s">
        <v>128</v>
      </c>
      <c r="AG40" s="70" t="s">
        <v>129</v>
      </c>
      <c r="AH40" s="70"/>
      <c r="AI40" s="70">
        <f>2586+0</f>
        <v>2586</v>
      </c>
    </row>
    <row r="41" spans="1:35" ht="66" x14ac:dyDescent="0.25">
      <c r="A41" s="62">
        <v>16</v>
      </c>
      <c r="B41" s="63" t="s">
        <v>130</v>
      </c>
      <c r="C41" s="64" t="str">
        <f t="shared" ca="1" si="1"/>
        <v xml:space="preserve">Колено трубы МП, диаметр 150 мм, полиэстер (стандартный цвет)
---------------------------------------------------------------------
шт.
</v>
      </c>
      <c r="D41" s="65">
        <v>28</v>
      </c>
      <c r="E41" s="66">
        <v>83.12</v>
      </c>
      <c r="F41" s="66"/>
      <c r="G41" s="66" t="s">
        <v>131</v>
      </c>
      <c r="H41" s="67" t="s">
        <v>132</v>
      </c>
      <c r="I41" s="68">
        <v>6783</v>
      </c>
      <c r="J41" s="66"/>
      <c r="K41" s="66"/>
      <c r="L41" s="66" t="str">
        <f>IF(28*83.12=0," ",TEXT(,ROUND((28*83.12*2.915),0)))</f>
        <v>6784</v>
      </c>
      <c r="M41" s="66"/>
      <c r="N41" s="66"/>
      <c r="O41" s="69"/>
      <c r="P41" s="69"/>
      <c r="Q41" s="69"/>
      <c r="R41" s="69"/>
      <c r="S41" s="69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 t="s">
        <v>133</v>
      </c>
      <c r="AG41" s="70" t="s">
        <v>119</v>
      </c>
      <c r="AH41" s="70"/>
      <c r="AI41" s="70">
        <f>0+0</f>
        <v>0</v>
      </c>
    </row>
    <row r="42" spans="1:35" ht="114" x14ac:dyDescent="0.25">
      <c r="A42" s="62">
        <v>17</v>
      </c>
      <c r="B42" s="63" t="s">
        <v>134</v>
      </c>
      <c r="C42" s="64" t="str">
        <f t="shared" ca="1" si="1"/>
        <v xml:space="preserve">Смена: отливов (отметов) водосточных труб
---------------------------------------------------------------------
100 шт.
---------------------------------------------------------------------КОЭФ. К ПОЗИЦИИ:
МАТ=0 к расх.
---------------------------------------------------------------------756 руб. НР 71%=83%*0.85 от ФОТ (1065 руб.)
554 руб. СП 52%=65%*0.8 от ФОТ (1065 руб.)
</v>
      </c>
      <c r="D42" s="65">
        <v>0.14000000000000001</v>
      </c>
      <c r="E42" s="66" t="s">
        <v>135</v>
      </c>
      <c r="F42" s="66">
        <v>6.97</v>
      </c>
      <c r="G42" s="66" t="s">
        <v>33</v>
      </c>
      <c r="H42" s="67" t="s">
        <v>136</v>
      </c>
      <c r="I42" s="68">
        <v>1077</v>
      </c>
      <c r="J42" s="66">
        <v>1065</v>
      </c>
      <c r="K42" s="66">
        <v>12</v>
      </c>
      <c r="L42" s="66" t="str">
        <f>IF(0.14*0=0," ",TEXT(,ROUND((0.14*0*3.9),0)))</f>
        <v xml:space="preserve"> </v>
      </c>
      <c r="M42" s="66">
        <v>53.1</v>
      </c>
      <c r="N42" s="66">
        <v>7.43</v>
      </c>
      <c r="O42" s="69"/>
      <c r="P42" s="69"/>
      <c r="Q42" s="69"/>
      <c r="R42" s="69"/>
      <c r="S42" s="69"/>
      <c r="T42" s="70"/>
      <c r="U42" s="70"/>
      <c r="V42" s="70"/>
      <c r="W42" s="70"/>
      <c r="X42" s="70"/>
      <c r="Y42" s="70"/>
      <c r="Z42" s="70"/>
      <c r="AA42" s="70" t="s">
        <v>45</v>
      </c>
      <c r="AB42" s="70" t="s">
        <v>46</v>
      </c>
      <c r="AC42" s="70">
        <v>756</v>
      </c>
      <c r="AD42" s="70">
        <v>554</v>
      </c>
      <c r="AE42" s="79" t="s">
        <v>107</v>
      </c>
      <c r="AF42" s="70" t="s">
        <v>137</v>
      </c>
      <c r="AG42" s="70" t="s">
        <v>129</v>
      </c>
      <c r="AH42" s="70"/>
      <c r="AI42" s="70">
        <f>1065+0</f>
        <v>1065</v>
      </c>
    </row>
    <row r="43" spans="1:35" ht="66" x14ac:dyDescent="0.25">
      <c r="A43" s="62">
        <v>18</v>
      </c>
      <c r="B43" s="63" t="s">
        <v>138</v>
      </c>
      <c r="C43" s="64" t="str">
        <f t="shared" ca="1" si="1"/>
        <v xml:space="preserve">Колено трубы МП сливное, диаметр 150 мм, полиэстер (стандартный цвет)
---------------------------------------------------------------------
шт.
</v>
      </c>
      <c r="D43" s="65">
        <v>14</v>
      </c>
      <c r="E43" s="66">
        <v>83.12</v>
      </c>
      <c r="F43" s="66"/>
      <c r="G43" s="66" t="s">
        <v>131</v>
      </c>
      <c r="H43" s="67" t="s">
        <v>139</v>
      </c>
      <c r="I43" s="68">
        <v>3393</v>
      </c>
      <c r="J43" s="66"/>
      <c r="K43" s="66"/>
      <c r="L43" s="66" t="str">
        <f>IF(14*83.12=0," ",TEXT(,ROUND((14*83.12*2.915),0)))</f>
        <v>3392</v>
      </c>
      <c r="M43" s="66"/>
      <c r="N43" s="66"/>
      <c r="O43" s="69"/>
      <c r="P43" s="69"/>
      <c r="Q43" s="69"/>
      <c r="R43" s="69"/>
      <c r="S43" s="69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 t="s">
        <v>140</v>
      </c>
      <c r="AG43" s="70" t="s">
        <v>119</v>
      </c>
      <c r="AH43" s="70"/>
      <c r="AI43" s="70">
        <f>0+0</f>
        <v>0</v>
      </c>
    </row>
    <row r="44" spans="1:35" ht="125.4" x14ac:dyDescent="0.25">
      <c r="A44" s="62">
        <v>19</v>
      </c>
      <c r="B44" s="63" t="s">
        <v>141</v>
      </c>
      <c r="C44" s="64" t="str">
        <f t="shared" ca="1" si="1"/>
        <v xml:space="preserve">Смена: воронок водосточных труб с земли, лестниц или подмостей
---------------------------------------------------------------------
100 шт.
---------------------------------------------------------------------КОЭФ. К ПОЗИЦИИ:
МАТ=0 к расх.
---------------------------------------------------------------------756 руб. НР 71%=83%*0.85 от ФОТ (1065 руб.)
554 руб. СП 52%=65%*0.8 от ФОТ (1065 руб.)
</v>
      </c>
      <c r="D44" s="65">
        <v>0.14000000000000001</v>
      </c>
      <c r="E44" s="66" t="s">
        <v>135</v>
      </c>
      <c r="F44" s="66">
        <v>6.97</v>
      </c>
      <c r="G44" s="66" t="s">
        <v>33</v>
      </c>
      <c r="H44" s="67" t="s">
        <v>142</v>
      </c>
      <c r="I44" s="68">
        <v>1077</v>
      </c>
      <c r="J44" s="66">
        <v>1065</v>
      </c>
      <c r="K44" s="66">
        <v>12</v>
      </c>
      <c r="L44" s="66" t="str">
        <f>IF(0.14*0=0," ",TEXT(,ROUND((0.14*0*3),0)))</f>
        <v xml:space="preserve"> </v>
      </c>
      <c r="M44" s="66">
        <v>53.1</v>
      </c>
      <c r="N44" s="66">
        <v>7.43</v>
      </c>
      <c r="O44" s="69"/>
      <c r="P44" s="69"/>
      <c r="Q44" s="69"/>
      <c r="R44" s="69"/>
      <c r="S44" s="69"/>
      <c r="T44" s="70"/>
      <c r="U44" s="70"/>
      <c r="V44" s="70"/>
      <c r="W44" s="70"/>
      <c r="X44" s="70"/>
      <c r="Y44" s="70"/>
      <c r="Z44" s="70"/>
      <c r="AA44" s="70" t="s">
        <v>45</v>
      </c>
      <c r="AB44" s="70" t="s">
        <v>46</v>
      </c>
      <c r="AC44" s="70">
        <v>756</v>
      </c>
      <c r="AD44" s="70">
        <v>554</v>
      </c>
      <c r="AE44" s="79" t="s">
        <v>107</v>
      </c>
      <c r="AF44" s="70" t="s">
        <v>143</v>
      </c>
      <c r="AG44" s="70" t="s">
        <v>129</v>
      </c>
      <c r="AH44" s="70"/>
      <c r="AI44" s="70">
        <f>1065+0</f>
        <v>1065</v>
      </c>
    </row>
    <row r="45" spans="1:35" ht="66" x14ac:dyDescent="0.25">
      <c r="A45" s="62">
        <v>20</v>
      </c>
      <c r="B45" s="63" t="s">
        <v>144</v>
      </c>
      <c r="C45" s="64" t="str">
        <f t="shared" ca="1" si="1"/>
        <v xml:space="preserve">Воронка водосборная МП, диаметр 350/150 мм, полиэстер (стандартный цвет)
---------------------------------------------------------------------
шт.
</v>
      </c>
      <c r="D45" s="65">
        <v>14</v>
      </c>
      <c r="E45" s="66">
        <v>271.07</v>
      </c>
      <c r="F45" s="66"/>
      <c r="G45" s="66" t="s">
        <v>145</v>
      </c>
      <c r="H45" s="67" t="s">
        <v>146</v>
      </c>
      <c r="I45" s="68">
        <v>9381</v>
      </c>
      <c r="J45" s="66"/>
      <c r="K45" s="66"/>
      <c r="L45" s="66" t="str">
        <f>IF(14*271.07=0," ",TEXT(,ROUND((14*271.07*2.472),0)))</f>
        <v>9381</v>
      </c>
      <c r="M45" s="66"/>
      <c r="N45" s="66"/>
      <c r="O45" s="69"/>
      <c r="P45" s="69"/>
      <c r="Q45" s="69"/>
      <c r="R45" s="69"/>
      <c r="S45" s="69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 t="s">
        <v>147</v>
      </c>
      <c r="AG45" s="70" t="s">
        <v>119</v>
      </c>
      <c r="AH45" s="70"/>
      <c r="AI45" s="70">
        <f>0+0</f>
        <v>0</v>
      </c>
    </row>
    <row r="46" spans="1:35" ht="125.4" x14ac:dyDescent="0.25">
      <c r="A46" s="62">
        <v>21</v>
      </c>
      <c r="B46" s="63" t="s">
        <v>148</v>
      </c>
      <c r="C46" s="64" t="str">
        <f t="shared" ca="1" si="1"/>
        <v xml:space="preserve">Смена ухватов для водосточных труб: в каменных стенах
---------------------------------------------------------------------
100 шт.
---------------------------------------------------------------------КОЭФ. К ПОЗИЦИИ:
МАТ=0 к расх.
---------------------------------------------------------------------6300 руб. НР 71%=83%*0.85 от ФОТ (8873 руб.)
4614 руб. СП 52%=65%*0.8 от ФОТ (8873 руб.)
</v>
      </c>
      <c r="D46" s="65">
        <v>1.7</v>
      </c>
      <c r="E46" s="66" t="s">
        <v>149</v>
      </c>
      <c r="F46" s="66">
        <v>0.87</v>
      </c>
      <c r="G46" s="66" t="s">
        <v>33</v>
      </c>
      <c r="H46" s="67" t="s">
        <v>150</v>
      </c>
      <c r="I46" s="68">
        <v>8885</v>
      </c>
      <c r="J46" s="66">
        <v>8873</v>
      </c>
      <c r="K46" s="66">
        <v>12</v>
      </c>
      <c r="L46" s="66" t="str">
        <f>IF(1.7*0=0," ",TEXT(,ROUND((1.7*0*4.26),0)))</f>
        <v xml:space="preserve"> </v>
      </c>
      <c r="M46" s="66">
        <v>37.799999999999997</v>
      </c>
      <c r="N46" s="66">
        <v>64.260000000000005</v>
      </c>
      <c r="O46" s="69"/>
      <c r="P46" s="69"/>
      <c r="Q46" s="69"/>
      <c r="R46" s="69"/>
      <c r="S46" s="69"/>
      <c r="T46" s="70"/>
      <c r="U46" s="70"/>
      <c r="V46" s="70"/>
      <c r="W46" s="70"/>
      <c r="X46" s="70"/>
      <c r="Y46" s="70"/>
      <c r="Z46" s="70"/>
      <c r="AA46" s="70" t="s">
        <v>45</v>
      </c>
      <c r="AB46" s="70" t="s">
        <v>46</v>
      </c>
      <c r="AC46" s="70">
        <v>6300</v>
      </c>
      <c r="AD46" s="70">
        <v>4614</v>
      </c>
      <c r="AE46" s="79" t="s">
        <v>107</v>
      </c>
      <c r="AF46" s="70" t="s">
        <v>151</v>
      </c>
      <c r="AG46" s="70" t="s">
        <v>129</v>
      </c>
      <c r="AH46" s="70"/>
      <c r="AI46" s="70">
        <f>8873+0</f>
        <v>8873</v>
      </c>
    </row>
    <row r="47" spans="1:35" ht="57" x14ac:dyDescent="0.25">
      <c r="A47" s="62">
        <v>22</v>
      </c>
      <c r="B47" s="63" t="s">
        <v>152</v>
      </c>
      <c r="C47" s="64" t="str">
        <f t="shared" ca="1" si="1"/>
        <v xml:space="preserve">Держатель трубы (саморез), диаметр 150 мм, полиэстер 170/1,18/5,56=25,91
---------------------------------------------------------------------
шт
</v>
      </c>
      <c r="D47" s="65">
        <v>170</v>
      </c>
      <c r="E47" s="66">
        <v>25.91</v>
      </c>
      <c r="F47" s="66"/>
      <c r="G47" s="66" t="s">
        <v>153</v>
      </c>
      <c r="H47" s="67" t="s">
        <v>154</v>
      </c>
      <c r="I47" s="68">
        <v>24492</v>
      </c>
      <c r="J47" s="66"/>
      <c r="K47" s="66"/>
      <c r="L47" s="66" t="str">
        <f>IF(170*25.91=0," ",TEXT(,ROUND((170*25.91*5.56),0)))</f>
        <v>24490</v>
      </c>
      <c r="M47" s="66"/>
      <c r="N47" s="66"/>
      <c r="O47" s="69"/>
      <c r="P47" s="69"/>
      <c r="Q47" s="69"/>
      <c r="R47" s="69"/>
      <c r="S47" s="69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 t="s">
        <v>155</v>
      </c>
      <c r="AG47" s="70" t="s">
        <v>156</v>
      </c>
      <c r="AH47" s="70"/>
      <c r="AI47" s="70">
        <f>0+0</f>
        <v>0</v>
      </c>
    </row>
    <row r="48" spans="1:35" ht="159.6" x14ac:dyDescent="0.25">
      <c r="A48" s="72">
        <v>23</v>
      </c>
      <c r="B48" s="73" t="s">
        <v>157</v>
      </c>
      <c r="C48" s="74" t="str">
        <f t="shared" ca="1" si="1"/>
        <v xml:space="preserve">Кладка из кирпича: столбов прямоугольных армированных при высоте этажа до 4 м
---------------------------------------------------------------------
1 м3 кладки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---------------------------------------------------------------------5517 руб. НР 93%=122%*(0.9*0.85) от ФОТ (5932 руб.)
3203 руб. СП 54%=80%*(0.85*0.8) от ФОТ (5932 руб.)
</v>
      </c>
      <c r="D48" s="75">
        <v>3.44</v>
      </c>
      <c r="E48" s="76" t="s">
        <v>158</v>
      </c>
      <c r="F48" s="76" t="s">
        <v>159</v>
      </c>
      <c r="G48" s="76" t="s">
        <v>160</v>
      </c>
      <c r="H48" s="77" t="s">
        <v>161</v>
      </c>
      <c r="I48" s="78">
        <v>22047</v>
      </c>
      <c r="J48" s="76">
        <v>5526</v>
      </c>
      <c r="K48" s="76" t="s">
        <v>162</v>
      </c>
      <c r="L48" s="76" t="str">
        <f>IF(3.44*894.65=0," ",TEXT(,ROUND((3.44*894.65*4.68),0)))</f>
        <v>14403</v>
      </c>
      <c r="M48" s="76" t="s">
        <v>163</v>
      </c>
      <c r="N48" s="76" t="s">
        <v>164</v>
      </c>
      <c r="O48" s="69"/>
      <c r="P48" s="69"/>
      <c r="Q48" s="69"/>
      <c r="R48" s="69"/>
      <c r="S48" s="69"/>
      <c r="T48" s="70"/>
      <c r="U48" s="70"/>
      <c r="V48" s="70"/>
      <c r="W48" s="70"/>
      <c r="X48" s="70"/>
      <c r="Y48" s="70"/>
      <c r="Z48" s="70"/>
      <c r="AA48" s="70" t="s">
        <v>165</v>
      </c>
      <c r="AB48" s="70" t="s">
        <v>166</v>
      </c>
      <c r="AC48" s="70">
        <v>5517</v>
      </c>
      <c r="AD48" s="70">
        <v>3203</v>
      </c>
      <c r="AE48" s="79" t="s">
        <v>167</v>
      </c>
      <c r="AF48" s="70" t="s">
        <v>168</v>
      </c>
      <c r="AG48" s="70" t="s">
        <v>169</v>
      </c>
      <c r="AH48" s="70"/>
      <c r="AI48" s="70">
        <f>5526+406</f>
        <v>5932</v>
      </c>
    </row>
    <row r="49" spans="1:35" ht="34.200000000000003" x14ac:dyDescent="0.25">
      <c r="A49" s="85" t="s">
        <v>95</v>
      </c>
      <c r="B49" s="84"/>
      <c r="C49" s="84"/>
      <c r="D49" s="84"/>
      <c r="E49" s="84"/>
      <c r="F49" s="84"/>
      <c r="G49" s="84"/>
      <c r="H49" s="84"/>
      <c r="I49" s="68">
        <v>40563</v>
      </c>
      <c r="J49" s="66">
        <v>2224</v>
      </c>
      <c r="K49" s="66" t="s">
        <v>170</v>
      </c>
      <c r="L49" s="66">
        <v>38146</v>
      </c>
      <c r="M49" s="66"/>
      <c r="N49" s="66" t="s">
        <v>171</v>
      </c>
      <c r="O49" s="9"/>
      <c r="P49" s="10"/>
      <c r="Q49" s="9"/>
      <c r="R49" s="9"/>
      <c r="S49" s="9"/>
    </row>
    <row r="50" spans="1:35" ht="34.200000000000003" x14ac:dyDescent="0.25">
      <c r="A50" s="85" t="s">
        <v>98</v>
      </c>
      <c r="B50" s="84"/>
      <c r="C50" s="84"/>
      <c r="D50" s="84"/>
      <c r="E50" s="84"/>
      <c r="F50" s="84"/>
      <c r="G50" s="84"/>
      <c r="H50" s="84"/>
      <c r="I50" s="68">
        <v>164332</v>
      </c>
      <c r="J50" s="66">
        <v>37586</v>
      </c>
      <c r="K50" s="66" t="s">
        <v>172</v>
      </c>
      <c r="L50" s="66">
        <v>124417</v>
      </c>
      <c r="M50" s="66"/>
      <c r="N50" s="66" t="s">
        <v>171</v>
      </c>
      <c r="O50" s="9"/>
      <c r="P50" s="10"/>
      <c r="Q50" s="9"/>
      <c r="R50" s="9"/>
      <c r="S50" s="9"/>
    </row>
    <row r="51" spans="1:35" x14ac:dyDescent="0.25">
      <c r="A51" s="85" t="s">
        <v>100</v>
      </c>
      <c r="B51" s="84"/>
      <c r="C51" s="84"/>
      <c r="D51" s="84"/>
      <c r="E51" s="84"/>
      <c r="F51" s="84"/>
      <c r="G51" s="84"/>
      <c r="H51" s="84"/>
      <c r="I51" s="68">
        <v>28280</v>
      </c>
      <c r="J51" s="66"/>
      <c r="K51" s="66"/>
      <c r="L51" s="66"/>
      <c r="M51" s="66"/>
      <c r="N51" s="66"/>
      <c r="O51" s="9"/>
      <c r="P51" s="10"/>
      <c r="Q51" s="9"/>
      <c r="R51" s="9"/>
      <c r="S51" s="9"/>
    </row>
    <row r="52" spans="1:35" x14ac:dyDescent="0.25">
      <c r="A52" s="85" t="s">
        <v>101</v>
      </c>
      <c r="B52" s="84"/>
      <c r="C52" s="84"/>
      <c r="D52" s="84"/>
      <c r="E52" s="84"/>
      <c r="F52" s="84"/>
      <c r="G52" s="84"/>
      <c r="H52" s="84"/>
      <c r="I52" s="68">
        <v>19875</v>
      </c>
      <c r="J52" s="66"/>
      <c r="K52" s="66"/>
      <c r="L52" s="66"/>
      <c r="M52" s="66"/>
      <c r="N52" s="66"/>
      <c r="O52" s="9"/>
      <c r="P52" s="10"/>
      <c r="Q52" s="9"/>
      <c r="R52" s="9"/>
      <c r="S52" s="9"/>
    </row>
    <row r="53" spans="1:35" ht="34.200000000000003" x14ac:dyDescent="0.25">
      <c r="A53" s="86" t="s">
        <v>173</v>
      </c>
      <c r="B53" s="87"/>
      <c r="C53" s="87"/>
      <c r="D53" s="87"/>
      <c r="E53" s="87"/>
      <c r="F53" s="87"/>
      <c r="G53" s="87"/>
      <c r="H53" s="87"/>
      <c r="I53" s="78">
        <v>212487</v>
      </c>
      <c r="J53" s="76"/>
      <c r="K53" s="76"/>
      <c r="L53" s="76"/>
      <c r="M53" s="76"/>
      <c r="N53" s="76" t="s">
        <v>171</v>
      </c>
      <c r="O53" s="9"/>
      <c r="P53" s="10"/>
      <c r="Q53" s="9"/>
      <c r="R53" s="9"/>
      <c r="S53" s="9"/>
    </row>
    <row r="54" spans="1:35" ht="18.45" customHeight="1" x14ac:dyDescent="0.25">
      <c r="A54" s="90" t="s">
        <v>174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18.45" customHeight="1" x14ac:dyDescent="0.25">
      <c r="A55" s="88" t="s">
        <v>175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35" ht="182.4" x14ac:dyDescent="0.25">
      <c r="A56" s="62">
        <v>24</v>
      </c>
      <c r="B56" s="63" t="s">
        <v>176</v>
      </c>
      <c r="C56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Монтаж прогонов при шаге ферм до 12 м при высоте здания: до 50 м
---------------------------------------------------------------------
1 т конструкций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---------------------------------------------------------------------7300 руб. НР 69%=90%*(0.9*0.85) от ФОТ (10580 руб.)
6136 руб. СП 58%=85%*(0.85*0.8) от ФОТ (10580 руб.)
</v>
      </c>
      <c r="D56" s="65" t="s">
        <v>177</v>
      </c>
      <c r="E56" s="66" t="s">
        <v>178</v>
      </c>
      <c r="F56" s="66" t="s">
        <v>179</v>
      </c>
      <c r="G56" s="66" t="s">
        <v>180</v>
      </c>
      <c r="H56" s="67" t="s">
        <v>181</v>
      </c>
      <c r="I56" s="68">
        <v>26993</v>
      </c>
      <c r="J56" s="66">
        <v>8146</v>
      </c>
      <c r="K56" s="66" t="s">
        <v>182</v>
      </c>
      <c r="L56" s="66" t="str">
        <f>IF(2.34688*85.51=0," ",TEXT(,ROUND((2.34688*85.51*5.56),0)))</f>
        <v>1116</v>
      </c>
      <c r="M56" s="66" t="s">
        <v>183</v>
      </c>
      <c r="N56" s="66" t="s">
        <v>184</v>
      </c>
      <c r="O56" s="69"/>
      <c r="P56" s="69"/>
      <c r="Q56" s="69"/>
      <c r="R56" s="69"/>
      <c r="S56" s="69"/>
      <c r="T56" s="70"/>
      <c r="U56" s="70"/>
      <c r="V56" s="70"/>
      <c r="W56" s="70"/>
      <c r="X56" s="70"/>
      <c r="Y56" s="70"/>
      <c r="Z56" s="70"/>
      <c r="AA56" s="70" t="s">
        <v>185</v>
      </c>
      <c r="AB56" s="70" t="s">
        <v>186</v>
      </c>
      <c r="AC56" s="70">
        <v>7300</v>
      </c>
      <c r="AD56" s="70">
        <v>6136</v>
      </c>
      <c r="AE56" s="79" t="s">
        <v>187</v>
      </c>
      <c r="AF56" s="70" t="s">
        <v>188</v>
      </c>
      <c r="AG56" s="70" t="s">
        <v>189</v>
      </c>
      <c r="AH56" s="70"/>
      <c r="AI56" s="70">
        <f>8146+2434</f>
        <v>10580</v>
      </c>
    </row>
    <row r="57" spans="1:35" ht="79.8" x14ac:dyDescent="0.25">
      <c r="A57" s="62">
        <v>25</v>
      </c>
      <c r="B57" s="63" t="s">
        <v>190</v>
      </c>
      <c r="C57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---------------------------------------------------------------------
т
</v>
      </c>
      <c r="D57" s="65">
        <v>2.3468800000000001</v>
      </c>
      <c r="E57" s="66">
        <v>10045</v>
      </c>
      <c r="F57" s="66"/>
      <c r="G57" s="66" t="s">
        <v>191</v>
      </c>
      <c r="H57" s="67" t="s">
        <v>192</v>
      </c>
      <c r="I57" s="68">
        <v>177607</v>
      </c>
      <c r="J57" s="66"/>
      <c r="K57" s="66"/>
      <c r="L57" s="66" t="str">
        <f>IF(2.34688*10045=0," ",TEXT(,ROUND((2.34688*10045*7.534),0)))</f>
        <v>177610</v>
      </c>
      <c r="M57" s="66"/>
      <c r="N57" s="66"/>
      <c r="O57" s="69"/>
      <c r="P57" s="69"/>
      <c r="Q57" s="69"/>
      <c r="R57" s="69"/>
      <c r="S57" s="69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 t="s">
        <v>193</v>
      </c>
      <c r="AG57" s="70" t="s">
        <v>194</v>
      </c>
      <c r="AH57" s="70"/>
      <c r="AI57" s="70">
        <f>0+0</f>
        <v>0</v>
      </c>
    </row>
    <row r="58" spans="1:35" ht="159.6" x14ac:dyDescent="0.25">
      <c r="A58" s="62">
        <v>26</v>
      </c>
      <c r="B58" s="63" t="s">
        <v>195</v>
      </c>
      <c r="C58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Огрунтовка металлических поверхностей за один раз: грунтовкой ГФ-021
---------------------------------------------------------------------
100 м2 окрашиваемой поверхности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---------------------------------------------------------------------688 руб. НР 69%=90%*(0.9*0.85) от ФОТ (997 руб.)
479 руб. СП 48%=70%*(0.85*0.8) от ФОТ (997 руб.)
</v>
      </c>
      <c r="D58" s="65">
        <v>0.91300000000000003</v>
      </c>
      <c r="E58" s="66" t="s">
        <v>196</v>
      </c>
      <c r="F58" s="66" t="s">
        <v>197</v>
      </c>
      <c r="G58" s="66" t="s">
        <v>198</v>
      </c>
      <c r="H58" s="67" t="s">
        <v>199</v>
      </c>
      <c r="I58" s="68">
        <v>1908</v>
      </c>
      <c r="J58" s="66">
        <v>997</v>
      </c>
      <c r="K58" s="66">
        <v>121</v>
      </c>
      <c r="L58" s="66" t="str">
        <f>IF(0.913*202.72=0," ",TEXT(,ROUND((0.913*202.72*4.27),0)))</f>
        <v>790</v>
      </c>
      <c r="M58" s="66" t="s">
        <v>200</v>
      </c>
      <c r="N58" s="66" t="s">
        <v>201</v>
      </c>
      <c r="O58" s="69"/>
      <c r="P58" s="69"/>
      <c r="Q58" s="69"/>
      <c r="R58" s="69"/>
      <c r="S58" s="69"/>
      <c r="T58" s="70"/>
      <c r="U58" s="70"/>
      <c r="V58" s="70"/>
      <c r="W58" s="70"/>
      <c r="X58" s="70"/>
      <c r="Y58" s="70"/>
      <c r="Z58" s="70"/>
      <c r="AA58" s="70" t="s">
        <v>185</v>
      </c>
      <c r="AB58" s="70" t="s">
        <v>39</v>
      </c>
      <c r="AC58" s="70">
        <v>688</v>
      </c>
      <c r="AD58" s="70">
        <v>479</v>
      </c>
      <c r="AE58" s="79" t="s">
        <v>167</v>
      </c>
      <c r="AF58" s="70" t="s">
        <v>202</v>
      </c>
      <c r="AG58" s="70" t="s">
        <v>203</v>
      </c>
      <c r="AH58" s="70"/>
      <c r="AI58" s="70">
        <f>997+0</f>
        <v>997</v>
      </c>
    </row>
    <row r="59" spans="1:35" ht="193.8" x14ac:dyDescent="0.25">
      <c r="A59" s="62">
        <v>27</v>
      </c>
      <c r="B59" s="63" t="s">
        <v>204</v>
      </c>
      <c r="C59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Огнезащитное покрытие металлических огрунтованных (грунтом ГФ-021) поверхностей материалом огнезащитным терморасширяющимся «UNITFIRE CH общая толщиной 1мм»
---------------------------------------------------------------------
100 м2 покрытия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---------------------------------------------------------------------22278 руб. НР 77%=100%*(0.9*0.85) от ФОТ (28933 руб.)
13888 руб. СП 48%=70%*(0.85*0.8) от ФОТ (28933 руб.)
</v>
      </c>
      <c r="D59" s="65">
        <v>0.91300000000000003</v>
      </c>
      <c r="E59" s="66" t="s">
        <v>205</v>
      </c>
      <c r="F59" s="66">
        <v>366.15</v>
      </c>
      <c r="G59" s="66" t="s">
        <v>206</v>
      </c>
      <c r="H59" s="67" t="s">
        <v>207</v>
      </c>
      <c r="I59" s="68">
        <v>71153</v>
      </c>
      <c r="J59" s="66">
        <v>28933</v>
      </c>
      <c r="K59" s="66">
        <v>3764</v>
      </c>
      <c r="L59" s="66" t="str">
        <f>IF(0.913*10076.25=0," ",TEXT(,ROUND((0.913*10076.25*4.18),0)))</f>
        <v>38454</v>
      </c>
      <c r="M59" s="66">
        <v>211.6</v>
      </c>
      <c r="N59" s="66">
        <v>193.19</v>
      </c>
      <c r="O59" s="69"/>
      <c r="P59" s="69"/>
      <c r="Q59" s="69"/>
      <c r="R59" s="69"/>
      <c r="S59" s="69"/>
      <c r="T59" s="70"/>
      <c r="U59" s="70"/>
      <c r="V59" s="70"/>
      <c r="W59" s="70"/>
      <c r="X59" s="70"/>
      <c r="Y59" s="70"/>
      <c r="Z59" s="70"/>
      <c r="AA59" s="70" t="s">
        <v>208</v>
      </c>
      <c r="AB59" s="70" t="s">
        <v>39</v>
      </c>
      <c r="AC59" s="70">
        <v>22278</v>
      </c>
      <c r="AD59" s="70">
        <v>13888</v>
      </c>
      <c r="AE59" s="79" t="s">
        <v>167</v>
      </c>
      <c r="AF59" s="70" t="s">
        <v>209</v>
      </c>
      <c r="AG59" s="70" t="s">
        <v>53</v>
      </c>
      <c r="AH59" s="70"/>
      <c r="AI59" s="70">
        <f>28933+0</f>
        <v>28933</v>
      </c>
    </row>
    <row r="60" spans="1:35" ht="18.45" customHeight="1" x14ac:dyDescent="0.25">
      <c r="A60" s="88" t="s">
        <v>210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</row>
    <row r="61" spans="1:35" ht="159.6" x14ac:dyDescent="0.25">
      <c r="A61" s="62">
        <v>28</v>
      </c>
      <c r="B61" s="63" t="s">
        <v>211</v>
      </c>
      <c r="C61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Установка стропил
---------------------------------------------------------------------
1 м3 древесины в конструкции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---------------------------------------------------------------------260258 руб. НР 90%=118%*(0.9*0.85) от ФОТ (289176 руб.)
124346 руб. СП 43%=63%*(0.85*0.8) от ФОТ (289176 руб.)
</v>
      </c>
      <c r="D61" s="65" t="s">
        <v>212</v>
      </c>
      <c r="E61" s="66" t="s">
        <v>213</v>
      </c>
      <c r="F61" s="66" t="s">
        <v>214</v>
      </c>
      <c r="G61" s="66" t="s">
        <v>215</v>
      </c>
      <c r="H61" s="67" t="s">
        <v>216</v>
      </c>
      <c r="I61" s="68">
        <v>887400</v>
      </c>
      <c r="J61" s="66">
        <v>286016</v>
      </c>
      <c r="K61" s="66" t="s">
        <v>217</v>
      </c>
      <c r="L61" s="66" t="str">
        <f>IF(73.512*2062.26=0," ",TEXT(,ROUND((73.512*2062.26*3.71),0)))</f>
        <v>562439</v>
      </c>
      <c r="M61" s="66" t="s">
        <v>218</v>
      </c>
      <c r="N61" s="66" t="s">
        <v>219</v>
      </c>
      <c r="O61" s="69"/>
      <c r="P61" s="69"/>
      <c r="Q61" s="69"/>
      <c r="R61" s="69"/>
      <c r="S61" s="69"/>
      <c r="T61" s="70"/>
      <c r="U61" s="70"/>
      <c r="V61" s="70"/>
      <c r="W61" s="70"/>
      <c r="X61" s="70"/>
      <c r="Y61" s="70"/>
      <c r="Z61" s="70"/>
      <c r="AA61" s="70" t="s">
        <v>220</v>
      </c>
      <c r="AB61" s="70" t="s">
        <v>221</v>
      </c>
      <c r="AC61" s="70">
        <v>260258</v>
      </c>
      <c r="AD61" s="70">
        <v>124346</v>
      </c>
      <c r="AE61" s="79" t="s">
        <v>167</v>
      </c>
      <c r="AF61" s="70" t="s">
        <v>222</v>
      </c>
      <c r="AG61" s="70" t="s">
        <v>223</v>
      </c>
      <c r="AH61" s="70"/>
      <c r="AI61" s="70">
        <f>286016+3160</f>
        <v>289176</v>
      </c>
    </row>
    <row r="62" spans="1:35" ht="102.6" x14ac:dyDescent="0.25">
      <c r="A62" s="62">
        <v>29</v>
      </c>
      <c r="B62" s="63" t="s">
        <v>224</v>
      </c>
      <c r="C62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Сверление отверстий: в кирпичных стенах электроперфоратором диаметром до 20 мм, толщина стен 0,5 кирпича
---------------------------------------------------------------------
100 отверстий
---------------------------------------------------------------------1049 руб. НР 66%=78%*0.85 от ФОТ (1589 руб.)
636 руб. СП 40%=50%*0.8 от ФОТ (1589 руб.)
</v>
      </c>
      <c r="D62" s="65">
        <v>1.99</v>
      </c>
      <c r="E62" s="66" t="s">
        <v>225</v>
      </c>
      <c r="F62" s="66">
        <v>10.28</v>
      </c>
      <c r="G62" s="66" t="s">
        <v>33</v>
      </c>
      <c r="H62" s="67" t="s">
        <v>226</v>
      </c>
      <c r="I62" s="68">
        <v>1649</v>
      </c>
      <c r="J62" s="66">
        <v>1589</v>
      </c>
      <c r="K62" s="66">
        <v>60</v>
      </c>
      <c r="L62" s="66" t="str">
        <f>IF(1.99*0=0," ",TEXT(,ROUND((1.99*0*1),0)))</f>
        <v xml:space="preserve"> </v>
      </c>
      <c r="M62" s="66">
        <v>5.49</v>
      </c>
      <c r="N62" s="66">
        <v>10.93</v>
      </c>
      <c r="O62" s="69"/>
      <c r="P62" s="69"/>
      <c r="Q62" s="69"/>
      <c r="R62" s="69"/>
      <c r="S62" s="69"/>
      <c r="T62" s="70"/>
      <c r="U62" s="70"/>
      <c r="V62" s="70"/>
      <c r="W62" s="70"/>
      <c r="X62" s="70"/>
      <c r="Y62" s="70"/>
      <c r="Z62" s="70"/>
      <c r="AA62" s="70" t="s">
        <v>227</v>
      </c>
      <c r="AB62" s="70" t="s">
        <v>228</v>
      </c>
      <c r="AC62" s="70">
        <v>1049</v>
      </c>
      <c r="AD62" s="70">
        <v>636</v>
      </c>
      <c r="AE62" s="70"/>
      <c r="AF62" s="70" t="s">
        <v>229</v>
      </c>
      <c r="AG62" s="70" t="s">
        <v>230</v>
      </c>
      <c r="AH62" s="70"/>
      <c r="AI62" s="70">
        <f>1589+0</f>
        <v>1589</v>
      </c>
    </row>
    <row r="63" spans="1:35" ht="91.2" x14ac:dyDescent="0.25">
      <c r="A63" s="62">
        <v>30</v>
      </c>
      <c r="B63" s="63" t="s">
        <v>231</v>
      </c>
      <c r="C63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Сверление отверстий: на каждые 0,5 кирпича толщины стен добавлять к расценке 69-2-1
---------------------------------------------------------------------
100 отверстий
---------------------------------------------------------------------1004 руб. НР 66%=78%*0.85 от ФОТ (1521 руб.)
608 руб. СП 40%=50%*0.8 от ФОТ (1521 руб.)
</v>
      </c>
      <c r="D63" s="65">
        <v>1.99</v>
      </c>
      <c r="E63" s="66" t="s">
        <v>232</v>
      </c>
      <c r="F63" s="66">
        <v>9.8800000000000008</v>
      </c>
      <c r="G63" s="66" t="s">
        <v>33</v>
      </c>
      <c r="H63" s="67" t="s">
        <v>226</v>
      </c>
      <c r="I63" s="68">
        <v>1578</v>
      </c>
      <c r="J63" s="66">
        <v>1521</v>
      </c>
      <c r="K63" s="66">
        <v>57</v>
      </c>
      <c r="L63" s="66" t="str">
        <f>IF(1.99*0=0," ",TEXT(,ROUND((1.99*0*1),0)))</f>
        <v xml:space="preserve"> </v>
      </c>
      <c r="M63" s="66">
        <v>5.28</v>
      </c>
      <c r="N63" s="66">
        <v>10.51</v>
      </c>
      <c r="O63" s="69"/>
      <c r="P63" s="69"/>
      <c r="Q63" s="69"/>
      <c r="R63" s="69"/>
      <c r="S63" s="69"/>
      <c r="T63" s="70"/>
      <c r="U63" s="70"/>
      <c r="V63" s="70"/>
      <c r="W63" s="70"/>
      <c r="X63" s="70"/>
      <c r="Y63" s="70"/>
      <c r="Z63" s="70"/>
      <c r="AA63" s="70" t="s">
        <v>227</v>
      </c>
      <c r="AB63" s="70" t="s">
        <v>228</v>
      </c>
      <c r="AC63" s="70">
        <v>1004</v>
      </c>
      <c r="AD63" s="70">
        <v>608</v>
      </c>
      <c r="AE63" s="70"/>
      <c r="AF63" s="70" t="s">
        <v>233</v>
      </c>
      <c r="AG63" s="70" t="s">
        <v>230</v>
      </c>
      <c r="AH63" s="70"/>
      <c r="AI63" s="70">
        <f>1521+0</f>
        <v>1521</v>
      </c>
    </row>
    <row r="64" spans="1:35" ht="125.4" x14ac:dyDescent="0.25">
      <c r="A64" s="62">
        <v>31</v>
      </c>
      <c r="B64" s="63" t="s">
        <v>234</v>
      </c>
      <c r="C64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Постановка болтов: строительных с гайками и шайбами
---------------------------------------------------------------------
100 шт. болтов
---------------------------------------------------------------------КОЭФ. К ПОЗИЦИИ:
11.2 Ремонт сложных кровель ОЗП=1,25; ЭМ=1,25; ЗПМ=1,25; ТЗ=1,25; ТЗМ=1,25
---------------------------------------------------------------------3125 руб. НР 69%=90%*(0.9*0.85) от ФОТ (4529 руб.)
2627 руб. СП 58%=85%*(0.85*0.8) от ФОТ (4529 руб.)
</v>
      </c>
      <c r="D64" s="65">
        <v>1.99</v>
      </c>
      <c r="E64" s="66" t="s">
        <v>235</v>
      </c>
      <c r="F64" s="66">
        <v>3.28</v>
      </c>
      <c r="G64" s="66" t="s">
        <v>33</v>
      </c>
      <c r="H64" s="67" t="s">
        <v>236</v>
      </c>
      <c r="I64" s="68">
        <v>4612</v>
      </c>
      <c r="J64" s="66">
        <v>4529</v>
      </c>
      <c r="K64" s="66">
        <v>83</v>
      </c>
      <c r="L64" s="66" t="str">
        <f>IF(1.99*0=0," ",TEXT(,ROUND((1.99*0*1),0)))</f>
        <v xml:space="preserve"> </v>
      </c>
      <c r="M64" s="66">
        <v>14.88</v>
      </c>
      <c r="N64" s="66">
        <v>29.61</v>
      </c>
      <c r="O64" s="69"/>
      <c r="P64" s="69"/>
      <c r="Q64" s="69"/>
      <c r="R64" s="69"/>
      <c r="S64" s="69"/>
      <c r="T64" s="70"/>
      <c r="U64" s="70"/>
      <c r="V64" s="70"/>
      <c r="W64" s="70"/>
      <c r="X64" s="70"/>
      <c r="Y64" s="70"/>
      <c r="Z64" s="70"/>
      <c r="AA64" s="70" t="s">
        <v>185</v>
      </c>
      <c r="AB64" s="70" t="s">
        <v>186</v>
      </c>
      <c r="AC64" s="70">
        <v>3125</v>
      </c>
      <c r="AD64" s="70">
        <v>2627</v>
      </c>
      <c r="AE64" s="79" t="s">
        <v>237</v>
      </c>
      <c r="AF64" s="70" t="s">
        <v>238</v>
      </c>
      <c r="AG64" s="70" t="s">
        <v>239</v>
      </c>
      <c r="AH64" s="70"/>
      <c r="AI64" s="70">
        <f>4529+0</f>
        <v>4529</v>
      </c>
    </row>
    <row r="65" spans="1:35" ht="57" x14ac:dyDescent="0.25">
      <c r="A65" s="62">
        <v>32</v>
      </c>
      <c r="B65" s="63" t="s">
        <v>152</v>
      </c>
      <c r="C65" s="64" t="str">
        <f ca="1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Анкер распорный с кольцом м14х200х20 86,62/1,18/5,56=13,20
---------------------------------------------------------------------
шт
</v>
      </c>
      <c r="D65" s="65">
        <v>199</v>
      </c>
      <c r="E65" s="66">
        <v>13.2</v>
      </c>
      <c r="F65" s="66"/>
      <c r="G65" s="66" t="s">
        <v>240</v>
      </c>
      <c r="H65" s="67" t="s">
        <v>154</v>
      </c>
      <c r="I65" s="68">
        <v>14606</v>
      </c>
      <c r="J65" s="66"/>
      <c r="K65" s="66"/>
      <c r="L65" s="66" t="str">
        <f>IF(199*13.2=0," ",TEXT(,ROUND((199*13.2*5.56),0)))</f>
        <v>14605</v>
      </c>
      <c r="M65" s="66"/>
      <c r="N65" s="66"/>
      <c r="O65" s="69"/>
      <c r="P65" s="69"/>
      <c r="Q65" s="69"/>
      <c r="R65" s="69"/>
      <c r="S65" s="69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 t="s">
        <v>241</v>
      </c>
      <c r="AG65" s="70" t="s">
        <v>156</v>
      </c>
      <c r="AH65" s="70"/>
      <c r="AI65" s="70">
        <f>0+0</f>
        <v>0</v>
      </c>
    </row>
    <row r="66" spans="1:35" ht="18.45" customHeight="1" x14ac:dyDescent="0.25">
      <c r="A66" s="88" t="s">
        <v>242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</row>
    <row r="67" spans="1:35" ht="125.4" x14ac:dyDescent="0.25">
      <c r="A67" s="62">
        <v>33</v>
      </c>
      <c r="B67" s="63" t="s">
        <v>243</v>
      </c>
      <c r="C67" s="64" t="str">
        <f t="shared" ref="C67:C89" ca="1" si="2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Устройство обрешетки сплошной из досок
---------------------------------------------------------------------
100 м2
---------------------------------------------------------------------КОЭФ. К ПОЗИЦИИ:
11.2 Ремонт сложных кровель ОЗП=1,25; ЭМ=1,25; ЗПМ=1,25; ТЗ=1,25; ТЗМ=1,25
---------------------------------------------------------------------19666 руб. НР 71%=83%*0.85 от ФОТ (27699 руб.)
14403 руб. СП 52%=65%*0.8 от ФОТ (27699 руб.)
</v>
      </c>
      <c r="D67" s="65">
        <v>5.069</v>
      </c>
      <c r="E67" s="66" t="s">
        <v>244</v>
      </c>
      <c r="F67" s="66" t="s">
        <v>245</v>
      </c>
      <c r="G67" s="66" t="s">
        <v>246</v>
      </c>
      <c r="H67" s="67" t="s">
        <v>247</v>
      </c>
      <c r="I67" s="68">
        <v>91134</v>
      </c>
      <c r="J67" s="66">
        <v>27057</v>
      </c>
      <c r="K67" s="66" t="s">
        <v>248</v>
      </c>
      <c r="L67" s="66" t="str">
        <f>IF(5.069*2198.68=0," ",TEXT(,ROUND((5.069*2198.68*5.51),0)))</f>
        <v>61410</v>
      </c>
      <c r="M67" s="66" t="s">
        <v>249</v>
      </c>
      <c r="N67" s="66" t="s">
        <v>250</v>
      </c>
      <c r="O67" s="69"/>
      <c r="P67" s="69"/>
      <c r="Q67" s="69"/>
      <c r="R67" s="69"/>
      <c r="S67" s="69"/>
      <c r="T67" s="70"/>
      <c r="U67" s="70"/>
      <c r="V67" s="70"/>
      <c r="W67" s="70"/>
      <c r="X67" s="70"/>
      <c r="Y67" s="70"/>
      <c r="Z67" s="70"/>
      <c r="AA67" s="70" t="s">
        <v>45</v>
      </c>
      <c r="AB67" s="70" t="s">
        <v>46</v>
      </c>
      <c r="AC67" s="70">
        <v>19666</v>
      </c>
      <c r="AD67" s="70">
        <v>14403</v>
      </c>
      <c r="AE67" s="79" t="s">
        <v>237</v>
      </c>
      <c r="AF67" s="70" t="s">
        <v>251</v>
      </c>
      <c r="AG67" s="70" t="s">
        <v>252</v>
      </c>
      <c r="AH67" s="70"/>
      <c r="AI67" s="70">
        <f>27057+642</f>
        <v>27699</v>
      </c>
    </row>
    <row r="68" spans="1:35" ht="66" x14ac:dyDescent="0.25">
      <c r="A68" s="62">
        <v>34</v>
      </c>
      <c r="B68" s="63" t="s">
        <v>253</v>
      </c>
      <c r="C68" s="64" t="str">
        <f t="shared" ca="1" si="2"/>
        <v xml:space="preserve">Доски необрезные хвойных пород длиной: 4-6,5 м, все ширины, толщиной 25 мм, III сорта
---------------------------------------------------------------------
м3
</v>
      </c>
      <c r="D68" s="65">
        <v>-13.38</v>
      </c>
      <c r="E68" s="66">
        <v>792</v>
      </c>
      <c r="F68" s="66"/>
      <c r="G68" s="66" t="s">
        <v>254</v>
      </c>
      <c r="H68" s="67" t="s">
        <v>255</v>
      </c>
      <c r="I68" s="68">
        <v>-59756</v>
      </c>
      <c r="J68" s="66"/>
      <c r="K68" s="66"/>
      <c r="L68" s="66" t="str">
        <f>IF(-13.38*792=0," ",TEXT(,ROUND((-13.38*792*5.639),0)))</f>
        <v>-59756</v>
      </c>
      <c r="M68" s="66"/>
      <c r="N68" s="66"/>
      <c r="O68" s="69"/>
      <c r="P68" s="69"/>
      <c r="Q68" s="69"/>
      <c r="R68" s="69"/>
      <c r="S68" s="69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 t="s">
        <v>256</v>
      </c>
      <c r="AG68" s="70" t="s">
        <v>257</v>
      </c>
      <c r="AH68" s="70"/>
      <c r="AI68" s="70">
        <f>0+0</f>
        <v>0</v>
      </c>
    </row>
    <row r="69" spans="1:35" ht="66" x14ac:dyDescent="0.25">
      <c r="A69" s="62">
        <v>35</v>
      </c>
      <c r="B69" s="63" t="s">
        <v>258</v>
      </c>
      <c r="C69" s="64" t="str">
        <f t="shared" ca="1" si="2"/>
        <v xml:space="preserve">Доски обрезные хвойных пород длиной: 4-6,5 м, шириной 75-150 мм, толщиной 32-40 мм, II сорта
---------------------------------------------------------------------
м3
</v>
      </c>
      <c r="D69" s="65" t="s">
        <v>259</v>
      </c>
      <c r="E69" s="66">
        <v>1430</v>
      </c>
      <c r="F69" s="66"/>
      <c r="G69" s="66" t="s">
        <v>260</v>
      </c>
      <c r="H69" s="67" t="s">
        <v>261</v>
      </c>
      <c r="I69" s="68">
        <v>111312</v>
      </c>
      <c r="J69" s="66"/>
      <c r="K69" s="66"/>
      <c r="L69" s="66" t="str">
        <f>IF(20.276*1430=0," ",TEXT(,ROUND((20.276*1430*3.839),0)))</f>
        <v>111311</v>
      </c>
      <c r="M69" s="66"/>
      <c r="N69" s="66"/>
      <c r="O69" s="69"/>
      <c r="P69" s="69"/>
      <c r="Q69" s="69"/>
      <c r="R69" s="69"/>
      <c r="S69" s="69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 t="s">
        <v>262</v>
      </c>
      <c r="AG69" s="70" t="s">
        <v>257</v>
      </c>
      <c r="AH69" s="70"/>
      <c r="AI69" s="70">
        <f>0+0</f>
        <v>0</v>
      </c>
    </row>
    <row r="70" spans="1:35" ht="136.80000000000001" x14ac:dyDescent="0.25">
      <c r="A70" s="62">
        <v>36</v>
      </c>
      <c r="B70" s="63" t="s">
        <v>263</v>
      </c>
      <c r="C70" s="64" t="str">
        <f t="shared" ca="1" si="2"/>
        <v xml:space="preserve">Устройство обрешетки с прозорами из досок и брусков под кровлю: из листовой стали
---------------------------------------------------------------------
100 м2
---------------------------------------------------------------------КОЭФ. К ПОЗИЦИИ:
11.2 Ремонт сложных кровель ОЗП=1,25; ЭМ=1,25; ЗПМ=1,25; ТЗ=1,25; ТЗМ=1,25
---------------------------------------------------------------------25330 руб. НР 71%=83%*0.85 от ФОТ (35676 руб.)
18552 руб. СП 52%=65%*0.8 от ФОТ (35676 руб.)
</v>
      </c>
      <c r="D70" s="65">
        <v>9.7159999999999993</v>
      </c>
      <c r="E70" s="66" t="s">
        <v>264</v>
      </c>
      <c r="F70" s="66" t="s">
        <v>265</v>
      </c>
      <c r="G70" s="66" t="s">
        <v>266</v>
      </c>
      <c r="H70" s="67" t="s">
        <v>267</v>
      </c>
      <c r="I70" s="68">
        <v>118348</v>
      </c>
      <c r="J70" s="66">
        <v>34797</v>
      </c>
      <c r="K70" s="66" t="s">
        <v>268</v>
      </c>
      <c r="L70" s="66" t="str">
        <f>IF(9.716*1570.73=0," ",TEXT(,ROUND((9.716*1570.73*5.26),0)))</f>
        <v>80274</v>
      </c>
      <c r="M70" s="66" t="s">
        <v>269</v>
      </c>
      <c r="N70" s="66" t="s">
        <v>270</v>
      </c>
      <c r="O70" s="69"/>
      <c r="P70" s="69"/>
      <c r="Q70" s="69"/>
      <c r="R70" s="69"/>
      <c r="S70" s="69"/>
      <c r="T70" s="70"/>
      <c r="U70" s="70"/>
      <c r="V70" s="70"/>
      <c r="W70" s="70"/>
      <c r="X70" s="70"/>
      <c r="Y70" s="70"/>
      <c r="Z70" s="70"/>
      <c r="AA70" s="70" t="s">
        <v>45</v>
      </c>
      <c r="AB70" s="70" t="s">
        <v>46</v>
      </c>
      <c r="AC70" s="70">
        <v>25330</v>
      </c>
      <c r="AD70" s="70">
        <v>18552</v>
      </c>
      <c r="AE70" s="79" t="s">
        <v>237</v>
      </c>
      <c r="AF70" s="70" t="s">
        <v>271</v>
      </c>
      <c r="AG70" s="70" t="s">
        <v>252</v>
      </c>
      <c r="AH70" s="70"/>
      <c r="AI70" s="70">
        <f>34797+879</f>
        <v>35676</v>
      </c>
    </row>
    <row r="71" spans="1:35" ht="57" x14ac:dyDescent="0.25">
      <c r="A71" s="62">
        <v>37</v>
      </c>
      <c r="B71" s="63" t="s">
        <v>272</v>
      </c>
      <c r="C71" s="64" t="str">
        <f t="shared" ca="1" si="2"/>
        <v xml:space="preserve">Доски необрезные хвойных пород длиной 4-6,5 м, все ширины, толщиной 32-40 мм, III сорта
---------------------------------------------------------------------
м3
</v>
      </c>
      <c r="D71" s="65">
        <v>-17.489999999999998</v>
      </c>
      <c r="E71" s="66">
        <v>832.7</v>
      </c>
      <c r="F71" s="66"/>
      <c r="G71" s="66" t="s">
        <v>273</v>
      </c>
      <c r="H71" s="67" t="s">
        <v>274</v>
      </c>
      <c r="I71" s="68">
        <v>-78121</v>
      </c>
      <c r="J71" s="66"/>
      <c r="K71" s="66"/>
      <c r="L71" s="66" t="str">
        <f>IF(-17.49*832.7=0," ",TEXT(,ROUND((-17.49*832.7*5.364),0)))</f>
        <v>-78121</v>
      </c>
      <c r="M71" s="66"/>
      <c r="N71" s="66"/>
      <c r="O71" s="69"/>
      <c r="P71" s="69"/>
      <c r="Q71" s="69"/>
      <c r="R71" s="69"/>
      <c r="S71" s="69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 t="s">
        <v>275</v>
      </c>
      <c r="AG71" s="70" t="s">
        <v>257</v>
      </c>
      <c r="AH71" s="70"/>
      <c r="AI71" s="70">
        <f>0+0</f>
        <v>0</v>
      </c>
    </row>
    <row r="72" spans="1:35" ht="57" x14ac:dyDescent="0.25">
      <c r="A72" s="62">
        <v>38</v>
      </c>
      <c r="B72" s="63" t="s">
        <v>276</v>
      </c>
      <c r="C72" s="64" t="str">
        <f t="shared" ca="1" si="2"/>
        <v xml:space="preserve">Доски обрезные хвойных пород длиной 4-6,5 м, шириной 75-150 мм, толщиной 32-40 мм, II сорта
---------------------------------------------------------------------
м3
</v>
      </c>
      <c r="D72" s="65">
        <v>17.489999999999998</v>
      </c>
      <c r="E72" s="66">
        <v>1430</v>
      </c>
      <c r="F72" s="66"/>
      <c r="G72" s="66" t="s">
        <v>260</v>
      </c>
      <c r="H72" s="67" t="s">
        <v>261</v>
      </c>
      <c r="I72" s="68">
        <v>96017</v>
      </c>
      <c r="J72" s="66"/>
      <c r="K72" s="66"/>
      <c r="L72" s="66" t="str">
        <f>IF(17.49*1430=0," ",TEXT(,ROUND((17.49*1430*3.839),0)))</f>
        <v>96016</v>
      </c>
      <c r="M72" s="66"/>
      <c r="N72" s="66"/>
      <c r="O72" s="69"/>
      <c r="P72" s="69"/>
      <c r="Q72" s="69"/>
      <c r="R72" s="69"/>
      <c r="S72" s="69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 t="s">
        <v>277</v>
      </c>
      <c r="AG72" s="70" t="s">
        <v>257</v>
      </c>
      <c r="AH72" s="70"/>
      <c r="AI72" s="70">
        <f>0+0</f>
        <v>0</v>
      </c>
    </row>
    <row r="73" spans="1:35" ht="182.4" x14ac:dyDescent="0.25">
      <c r="A73" s="62">
        <v>39</v>
      </c>
      <c r="B73" s="63" t="s">
        <v>278</v>
      </c>
      <c r="C73" s="64" t="str">
        <f t="shared" ca="1" si="2"/>
        <v xml:space="preserve">Устройство желобов: настенных
---------------------------------------------------------------------
100 м желобов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---------------------------------------------------------------------31843 руб. НР 92%=120%*(0.9*0.85) от ФОТ (34612 руб.)
15229 руб. СП 44%=65%*(0.85*0.8) от ФОТ (34612 руб.)
</v>
      </c>
      <c r="D73" s="65">
        <v>1.89</v>
      </c>
      <c r="E73" s="66" t="s">
        <v>279</v>
      </c>
      <c r="F73" s="66" t="s">
        <v>280</v>
      </c>
      <c r="G73" s="66" t="s">
        <v>281</v>
      </c>
      <c r="H73" s="67" t="s">
        <v>282</v>
      </c>
      <c r="I73" s="68">
        <v>176606</v>
      </c>
      <c r="J73" s="66">
        <v>33192</v>
      </c>
      <c r="K73" s="66" t="s">
        <v>283</v>
      </c>
      <c r="L73" s="66" t="str">
        <f>IF(1.89*17933.62=0," ",TEXT(,ROUND((1.89*17933.62*3.93),0)))</f>
        <v>133206</v>
      </c>
      <c r="M73" s="66" t="s">
        <v>284</v>
      </c>
      <c r="N73" s="66" t="s">
        <v>285</v>
      </c>
      <c r="O73" s="69"/>
      <c r="P73" s="69"/>
      <c r="Q73" s="69"/>
      <c r="R73" s="69"/>
      <c r="S73" s="69"/>
      <c r="T73" s="70"/>
      <c r="U73" s="70"/>
      <c r="V73" s="70"/>
      <c r="W73" s="70"/>
      <c r="X73" s="70"/>
      <c r="Y73" s="70"/>
      <c r="Z73" s="70"/>
      <c r="AA73" s="70" t="s">
        <v>286</v>
      </c>
      <c r="AB73" s="70" t="s">
        <v>287</v>
      </c>
      <c r="AC73" s="70">
        <v>31843</v>
      </c>
      <c r="AD73" s="70">
        <v>15229</v>
      </c>
      <c r="AE73" s="79" t="s">
        <v>187</v>
      </c>
      <c r="AF73" s="70" t="s">
        <v>288</v>
      </c>
      <c r="AG73" s="70" t="s">
        <v>289</v>
      </c>
      <c r="AH73" s="70"/>
      <c r="AI73" s="70">
        <f>33192+1420</f>
        <v>34612</v>
      </c>
    </row>
    <row r="74" spans="1:35" ht="57" x14ac:dyDescent="0.25">
      <c r="A74" s="62">
        <v>40</v>
      </c>
      <c r="B74" s="63" t="s">
        <v>290</v>
      </c>
      <c r="C74" s="64" t="str">
        <f t="shared" ca="1" si="2"/>
        <v xml:space="preserve">Сталь листовая оцинкованная толщиной листа 0,7 мм
---------------------------------------------------------------------
т
</v>
      </c>
      <c r="D74" s="65">
        <v>-2.0979999999999999</v>
      </c>
      <c r="E74" s="66">
        <v>11200</v>
      </c>
      <c r="F74" s="66"/>
      <c r="G74" s="66" t="s">
        <v>291</v>
      </c>
      <c r="H74" s="67" t="s">
        <v>292</v>
      </c>
      <c r="I74" s="68">
        <v>-81632</v>
      </c>
      <c r="J74" s="66"/>
      <c r="K74" s="66"/>
      <c r="L74" s="66" t="str">
        <f>IF(-2.098*11200=0," ",TEXT(,ROUND((-2.098*11200*3.474),0)))</f>
        <v>-81631</v>
      </c>
      <c r="M74" s="66"/>
      <c r="N74" s="66"/>
      <c r="O74" s="69"/>
      <c r="P74" s="69"/>
      <c r="Q74" s="69"/>
      <c r="R74" s="69"/>
      <c r="S74" s="69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 t="s">
        <v>293</v>
      </c>
      <c r="AG74" s="70" t="s">
        <v>194</v>
      </c>
      <c r="AH74" s="70"/>
      <c r="AI74" s="70">
        <f>0+0</f>
        <v>0</v>
      </c>
    </row>
    <row r="75" spans="1:35" ht="57" x14ac:dyDescent="0.25">
      <c r="A75" s="62">
        <v>41</v>
      </c>
      <c r="B75" s="63" t="s">
        <v>152</v>
      </c>
      <c r="C75" s="64" t="str">
        <f t="shared" ca="1" si="2"/>
        <v xml:space="preserve">Лист плоский с полимерным покрытием толщиной 0,55 мм 372/1,18/5,56=56,7
---------------------------------------------------------------------
м2
</v>
      </c>
      <c r="D75" s="65">
        <v>465.62</v>
      </c>
      <c r="E75" s="66">
        <v>56.7</v>
      </c>
      <c r="F75" s="66"/>
      <c r="G75" s="66" t="s">
        <v>294</v>
      </c>
      <c r="H75" s="67" t="s">
        <v>154</v>
      </c>
      <c r="I75" s="68">
        <v>146790</v>
      </c>
      <c r="J75" s="66"/>
      <c r="K75" s="66"/>
      <c r="L75" s="66" t="str">
        <f>IF(465.62*56.7=0," ",TEXT(,ROUND((465.62*56.7*5.56),0)))</f>
        <v>146788</v>
      </c>
      <c r="M75" s="66"/>
      <c r="N75" s="66"/>
      <c r="O75" s="69"/>
      <c r="P75" s="69"/>
      <c r="Q75" s="69"/>
      <c r="R75" s="69"/>
      <c r="S75" s="69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 t="s">
        <v>295</v>
      </c>
      <c r="AG75" s="70" t="s">
        <v>296</v>
      </c>
      <c r="AH75" s="70"/>
      <c r="AI75" s="70">
        <f>0+0</f>
        <v>0</v>
      </c>
    </row>
    <row r="76" spans="1:35" ht="182.4" x14ac:dyDescent="0.25">
      <c r="A76" s="62">
        <v>42</v>
      </c>
      <c r="B76" s="63" t="s">
        <v>297</v>
      </c>
      <c r="C76" s="64" t="str">
        <f t="shared" ca="1" si="2"/>
        <v xml:space="preserve">Установка элементов каркаса: из брусьев (контробрешетка)
---------------------------------------------------------------------
1 м3 древесины в конструкции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---------------------------------------------------------------------17126 руб. НР 90%=118%*(0.9*0.85) от ФОТ (19029 руб.)
8182 руб. СП 43%=63%*(0.85*0.8) от ФОТ (19029 руб.)
</v>
      </c>
      <c r="D76" s="65">
        <v>4.1559999999999997</v>
      </c>
      <c r="E76" s="66" t="s">
        <v>298</v>
      </c>
      <c r="F76" s="66">
        <v>52.36</v>
      </c>
      <c r="G76" s="66" t="s">
        <v>299</v>
      </c>
      <c r="H76" s="67" t="s">
        <v>300</v>
      </c>
      <c r="I76" s="68">
        <v>52187</v>
      </c>
      <c r="J76" s="66">
        <v>19029</v>
      </c>
      <c r="K76" s="66">
        <v>2498</v>
      </c>
      <c r="L76" s="66" t="str">
        <f>IF(4.156*2189=0," ",TEXT(,ROUND((4.156*2189*3.37),0)))</f>
        <v>30659</v>
      </c>
      <c r="M76" s="66">
        <v>32.340000000000003</v>
      </c>
      <c r="N76" s="66">
        <v>134.41</v>
      </c>
      <c r="O76" s="69"/>
      <c r="P76" s="69"/>
      <c r="Q76" s="69"/>
      <c r="R76" s="69"/>
      <c r="S76" s="69"/>
      <c r="T76" s="70"/>
      <c r="U76" s="70"/>
      <c r="V76" s="70"/>
      <c r="W76" s="70"/>
      <c r="X76" s="70"/>
      <c r="Y76" s="70"/>
      <c r="Z76" s="70"/>
      <c r="AA76" s="70" t="s">
        <v>220</v>
      </c>
      <c r="AB76" s="70" t="s">
        <v>221</v>
      </c>
      <c r="AC76" s="70">
        <v>17126</v>
      </c>
      <c r="AD76" s="70">
        <v>8182</v>
      </c>
      <c r="AE76" s="79" t="s">
        <v>187</v>
      </c>
      <c r="AF76" s="70" t="s">
        <v>301</v>
      </c>
      <c r="AG76" s="70" t="s">
        <v>223</v>
      </c>
      <c r="AH76" s="70"/>
      <c r="AI76" s="70">
        <f>19029+0</f>
        <v>19029</v>
      </c>
    </row>
    <row r="77" spans="1:35" ht="136.80000000000001" x14ac:dyDescent="0.25">
      <c r="A77" s="62">
        <v>43</v>
      </c>
      <c r="B77" s="63" t="s">
        <v>302</v>
      </c>
      <c r="C77" s="64" t="str">
        <f t="shared" ca="1" si="2"/>
        <v xml:space="preserve">Устройство покрытия из рулонных материалов: насухо без промазки кромок
---------------------------------------------------------------------
100 м2 кровли
---------------------------------------------------------------------КОЭФ. К ПОЗИЦИИ:
11.2 Ремонт сложных кровель ОЗП=1,25; ЭМ=1,25; ЗПМ=1,25; ТЗ=1,25; ТЗМ=1,25
---------------------------------------------------------------------8255 руб. НР 71%=83%*0.85 от ФОТ (11627 руб.)
6046 руб. СП 52%=65%*0.8 от ФОТ (11627 руб.)
</v>
      </c>
      <c r="D77" s="65">
        <v>15.185</v>
      </c>
      <c r="E77" s="66" t="s">
        <v>303</v>
      </c>
      <c r="F77" s="66">
        <v>6.54</v>
      </c>
      <c r="G77" s="66" t="s">
        <v>304</v>
      </c>
      <c r="H77" s="67" t="s">
        <v>305</v>
      </c>
      <c r="I77" s="68">
        <v>80001</v>
      </c>
      <c r="J77" s="66">
        <v>11627</v>
      </c>
      <c r="K77" s="66">
        <v>1170</v>
      </c>
      <c r="L77" s="66" t="str">
        <f>IF(15.185*883.33=0," ",TEXT(,ROUND((15.185*883.33*5.01),0)))</f>
        <v>67201</v>
      </c>
      <c r="M77" s="66">
        <v>5.65</v>
      </c>
      <c r="N77" s="66">
        <v>85.8</v>
      </c>
      <c r="O77" s="69"/>
      <c r="P77" s="69"/>
      <c r="Q77" s="69"/>
      <c r="R77" s="69"/>
      <c r="S77" s="69"/>
      <c r="T77" s="70"/>
      <c r="U77" s="70"/>
      <c r="V77" s="70"/>
      <c r="W77" s="70"/>
      <c r="X77" s="70"/>
      <c r="Y77" s="70"/>
      <c r="Z77" s="70"/>
      <c r="AA77" s="70" t="s">
        <v>45</v>
      </c>
      <c r="AB77" s="70" t="s">
        <v>46</v>
      </c>
      <c r="AC77" s="70">
        <v>8255</v>
      </c>
      <c r="AD77" s="70">
        <v>6046</v>
      </c>
      <c r="AE77" s="79" t="s">
        <v>237</v>
      </c>
      <c r="AF77" s="70" t="s">
        <v>306</v>
      </c>
      <c r="AG77" s="70" t="s">
        <v>67</v>
      </c>
      <c r="AH77" s="70"/>
      <c r="AI77" s="70">
        <f>11627+0</f>
        <v>11627</v>
      </c>
    </row>
    <row r="78" spans="1:35" ht="102.6" x14ac:dyDescent="0.25">
      <c r="A78" s="62">
        <v>44</v>
      </c>
      <c r="B78" s="63" t="s">
        <v>307</v>
      </c>
      <c r="C78" s="64" t="str">
        <f t="shared" ca="1" si="2"/>
        <v xml:space="preserve">Рубероид кровельный с крупнозернистой посыпкой марки РКК-350б
---------------------------------------------------------------------
м2
---------------------------------------------------------------------КОЭФ. К ПОЗИЦИИ:
11.2 Ремонт сложных кровель ОЗП=1,25; ЭМ=1,25; ЗПМ=1,25; ТЗ=1,25; ТЗМ=1,25
</v>
      </c>
      <c r="D78" s="65">
        <v>-1746</v>
      </c>
      <c r="E78" s="66">
        <v>7.46</v>
      </c>
      <c r="F78" s="66"/>
      <c r="G78" s="66" t="s">
        <v>308</v>
      </c>
      <c r="H78" s="67" t="s">
        <v>309</v>
      </c>
      <c r="I78" s="68">
        <v>-65177</v>
      </c>
      <c r="J78" s="66"/>
      <c r="K78" s="66"/>
      <c r="L78" s="66" t="str">
        <f>IF(-1746*7.46=0," ",TEXT(,ROUND((-1746*7.46*5.004),0)))</f>
        <v>-65178</v>
      </c>
      <c r="M78" s="66"/>
      <c r="N78" s="66"/>
      <c r="O78" s="69"/>
      <c r="P78" s="69"/>
      <c r="Q78" s="69"/>
      <c r="R78" s="69"/>
      <c r="S78" s="69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9" t="s">
        <v>237</v>
      </c>
      <c r="AF78" s="70" t="s">
        <v>310</v>
      </c>
      <c r="AG78" s="70" t="s">
        <v>296</v>
      </c>
      <c r="AH78" s="70"/>
      <c r="AI78" s="70">
        <f>0+0</f>
        <v>0</v>
      </c>
    </row>
    <row r="79" spans="1:35" ht="57" x14ac:dyDescent="0.25">
      <c r="A79" s="62">
        <v>45</v>
      </c>
      <c r="B79" s="63" t="s">
        <v>311</v>
      </c>
      <c r="C79" s="64" t="str">
        <f t="shared" ca="1" si="2"/>
        <v xml:space="preserve">Изоспан: Защитный материал марки Д 19,47/5,56=3,50
---------------------------------------------------------------------
м2
</v>
      </c>
      <c r="D79" s="65">
        <v>1746</v>
      </c>
      <c r="E79" s="66">
        <v>3.5</v>
      </c>
      <c r="F79" s="66"/>
      <c r="G79" s="66" t="s">
        <v>312</v>
      </c>
      <c r="H79" s="67" t="s">
        <v>154</v>
      </c>
      <c r="I79" s="68">
        <v>33977</v>
      </c>
      <c r="J79" s="66"/>
      <c r="K79" s="66"/>
      <c r="L79" s="66" t="str">
        <f>IF(1746*3.5=0," ",TEXT(,ROUND((1746*3.5*5.56),0)))</f>
        <v>33977</v>
      </c>
      <c r="M79" s="66"/>
      <c r="N79" s="66"/>
      <c r="O79" s="69"/>
      <c r="P79" s="69"/>
      <c r="Q79" s="69"/>
      <c r="R79" s="69"/>
      <c r="S79" s="69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 t="s">
        <v>313</v>
      </c>
      <c r="AG79" s="70" t="s">
        <v>296</v>
      </c>
      <c r="AH79" s="70"/>
      <c r="AI79" s="70">
        <f>0+0</f>
        <v>0</v>
      </c>
    </row>
    <row r="80" spans="1:35" ht="193.8" x14ac:dyDescent="0.25">
      <c r="A80" s="62">
        <v>46</v>
      </c>
      <c r="B80" s="63" t="s">
        <v>314</v>
      </c>
      <c r="C80" s="64" t="str">
        <f t="shared" ca="1" si="2"/>
        <v xml:space="preserve">Устройство кровли из металлочерепицы по готовым прогонам: простая кровля
---------------------------------------------------------------------
100 м2 кровли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---------------------------------------------------------------------103644 руб. НР 92%=120%*(0.9*0.85) от ФОТ (112656 руб.)
49569 руб. СП 44%=65%*(0.85*0.8) от ФОТ (112656 руб.)
</v>
      </c>
      <c r="D80" s="65">
        <v>13.462</v>
      </c>
      <c r="E80" s="66" t="s">
        <v>315</v>
      </c>
      <c r="F80" s="66" t="s">
        <v>316</v>
      </c>
      <c r="G80" s="66" t="s">
        <v>317</v>
      </c>
      <c r="H80" s="67" t="s">
        <v>318</v>
      </c>
      <c r="I80" s="68">
        <v>564917</v>
      </c>
      <c r="J80" s="66">
        <v>108870</v>
      </c>
      <c r="K80" s="66" t="s">
        <v>319</v>
      </c>
      <c r="L80" s="66" t="str">
        <f>IF(13.462*9149.44=0," ",TEXT(,ROUND((13.462*9149.44*3.48),0)))</f>
        <v>428631</v>
      </c>
      <c r="M80" s="66" t="s">
        <v>320</v>
      </c>
      <c r="N80" s="66" t="s">
        <v>321</v>
      </c>
      <c r="O80" s="69"/>
      <c r="P80" s="69"/>
      <c r="Q80" s="69"/>
      <c r="R80" s="69"/>
      <c r="S80" s="69"/>
      <c r="T80" s="70"/>
      <c r="U80" s="70"/>
      <c r="V80" s="70"/>
      <c r="W80" s="70"/>
      <c r="X80" s="70"/>
      <c r="Y80" s="70"/>
      <c r="Z80" s="70"/>
      <c r="AA80" s="70" t="s">
        <v>286</v>
      </c>
      <c r="AB80" s="70" t="s">
        <v>287</v>
      </c>
      <c r="AC80" s="70">
        <v>103644</v>
      </c>
      <c r="AD80" s="70">
        <v>49569</v>
      </c>
      <c r="AE80" s="79" t="s">
        <v>187</v>
      </c>
      <c r="AF80" s="70" t="s">
        <v>322</v>
      </c>
      <c r="AG80" s="70" t="s">
        <v>67</v>
      </c>
      <c r="AH80" s="70"/>
      <c r="AI80" s="70">
        <f>108870+3786</f>
        <v>112656</v>
      </c>
    </row>
    <row r="81" spans="1:35" ht="57" x14ac:dyDescent="0.25">
      <c r="A81" s="62">
        <v>47</v>
      </c>
      <c r="B81" s="63" t="s">
        <v>323</v>
      </c>
      <c r="C81" s="64" t="str">
        <f t="shared" ca="1" si="2"/>
        <v xml:space="preserve">Металлочерепица «Монтеррей»
---------------------------------------------------------------------
м2
</v>
      </c>
      <c r="D81" s="65">
        <v>-1642</v>
      </c>
      <c r="E81" s="66">
        <v>70.5</v>
      </c>
      <c r="F81" s="66"/>
      <c r="G81" s="66" t="s">
        <v>324</v>
      </c>
      <c r="H81" s="67" t="s">
        <v>325</v>
      </c>
      <c r="I81" s="68">
        <v>-425537</v>
      </c>
      <c r="J81" s="66"/>
      <c r="K81" s="66"/>
      <c r="L81" s="66" t="str">
        <f>IF(-1642*70.5=0," ",TEXT(,ROUND((-1642*70.5*3.676),0)))</f>
        <v>-425537</v>
      </c>
      <c r="M81" s="66"/>
      <c r="N81" s="66"/>
      <c r="O81" s="69"/>
      <c r="P81" s="69"/>
      <c r="Q81" s="69"/>
      <c r="R81" s="69"/>
      <c r="S81" s="69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 t="s">
        <v>326</v>
      </c>
      <c r="AG81" s="70" t="s">
        <v>296</v>
      </c>
      <c r="AH81" s="70"/>
      <c r="AI81" s="70">
        <f>0+0</f>
        <v>0</v>
      </c>
    </row>
    <row r="82" spans="1:35" ht="57" x14ac:dyDescent="0.25">
      <c r="A82" s="62">
        <v>48</v>
      </c>
      <c r="B82" s="63" t="s">
        <v>152</v>
      </c>
      <c r="C82" s="64" t="str">
        <f t="shared" ca="1" si="2"/>
        <v xml:space="preserve">Профилированный лист с полимерным покрытием: НС44-1000-0,7 500/1,18/5,56=76,21
---------------------------------------------------------------------
м2
</v>
      </c>
      <c r="D82" s="65">
        <v>1642</v>
      </c>
      <c r="E82" s="66">
        <v>76.209999999999994</v>
      </c>
      <c r="F82" s="66"/>
      <c r="G82" s="66" t="s">
        <v>327</v>
      </c>
      <c r="H82" s="67" t="s">
        <v>154</v>
      </c>
      <c r="I82" s="68">
        <v>695762</v>
      </c>
      <c r="J82" s="66"/>
      <c r="K82" s="66"/>
      <c r="L82" s="66" t="str">
        <f>IF(1642*76.21=0," ",TEXT(,ROUND((1642*76.21*5.56),0)))</f>
        <v>695761</v>
      </c>
      <c r="M82" s="66"/>
      <c r="N82" s="66"/>
      <c r="O82" s="69"/>
      <c r="P82" s="69"/>
      <c r="Q82" s="69"/>
      <c r="R82" s="69"/>
      <c r="S82" s="69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 t="s">
        <v>328</v>
      </c>
      <c r="AG82" s="70" t="s">
        <v>296</v>
      </c>
      <c r="AH82" s="70"/>
      <c r="AI82" s="70">
        <f>0+0</f>
        <v>0</v>
      </c>
    </row>
    <row r="83" spans="1:35" ht="57" x14ac:dyDescent="0.25">
      <c r="A83" s="62">
        <v>49</v>
      </c>
      <c r="B83" s="63" t="s">
        <v>152</v>
      </c>
      <c r="C83" s="64" t="str">
        <f t="shared" ca="1" si="2"/>
        <v xml:space="preserve">Угол наружный (конек) с полимерным покрытием 300х300х2500 446/1,18/5,56=32,31
---------------------------------------------------------------------
мп
</v>
      </c>
      <c r="D83" s="65">
        <v>146</v>
      </c>
      <c r="E83" s="66">
        <v>67.98</v>
      </c>
      <c r="F83" s="66"/>
      <c r="G83" s="66" t="s">
        <v>329</v>
      </c>
      <c r="H83" s="67" t="s">
        <v>154</v>
      </c>
      <c r="I83" s="68">
        <v>55183</v>
      </c>
      <c r="J83" s="66"/>
      <c r="K83" s="66"/>
      <c r="L83" s="66" t="str">
        <f>IF(146*67.98=0," ",TEXT(,ROUND((146*67.98*5.56),0)))</f>
        <v>55183</v>
      </c>
      <c r="M83" s="66"/>
      <c r="N83" s="66"/>
      <c r="O83" s="69"/>
      <c r="P83" s="69"/>
      <c r="Q83" s="69"/>
      <c r="R83" s="69"/>
      <c r="S83" s="69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 t="s">
        <v>330</v>
      </c>
      <c r="AG83" s="70" t="s">
        <v>331</v>
      </c>
      <c r="AH83" s="70"/>
      <c r="AI83" s="70">
        <f>0+0</f>
        <v>0</v>
      </c>
    </row>
    <row r="84" spans="1:35" ht="57" x14ac:dyDescent="0.25">
      <c r="A84" s="62">
        <v>50</v>
      </c>
      <c r="B84" s="63" t="s">
        <v>152</v>
      </c>
      <c r="C84" s="64" t="str">
        <f t="shared" ca="1" si="2"/>
        <v xml:space="preserve">Угол внутренний (примыкание) 300х300х2500 446/1,18/5,56=32,31
---------------------------------------------------------------------
м
</v>
      </c>
      <c r="D84" s="65">
        <v>200</v>
      </c>
      <c r="E84" s="66">
        <v>67.98</v>
      </c>
      <c r="F84" s="66"/>
      <c r="G84" s="66" t="s">
        <v>329</v>
      </c>
      <c r="H84" s="67" t="s">
        <v>154</v>
      </c>
      <c r="I84" s="68">
        <v>75594</v>
      </c>
      <c r="J84" s="66"/>
      <c r="K84" s="66"/>
      <c r="L84" s="66" t="str">
        <f>IF(200*67.98=0," ",TEXT(,ROUND((200*67.98*5.56),0)))</f>
        <v>75594</v>
      </c>
      <c r="M84" s="66"/>
      <c r="N84" s="66"/>
      <c r="O84" s="69"/>
      <c r="P84" s="69"/>
      <c r="Q84" s="69"/>
      <c r="R84" s="69"/>
      <c r="S84" s="69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 t="s">
        <v>332</v>
      </c>
      <c r="AG84" s="70" t="s">
        <v>333</v>
      </c>
      <c r="AH84" s="70"/>
      <c r="AI84" s="70">
        <f>0+0</f>
        <v>0</v>
      </c>
    </row>
    <row r="85" spans="1:35" ht="182.4" x14ac:dyDescent="0.25">
      <c r="A85" s="62">
        <v>51</v>
      </c>
      <c r="B85" s="63" t="s">
        <v>334</v>
      </c>
      <c r="C85" s="64" t="str">
        <f t="shared" ca="1" si="2"/>
        <v xml:space="preserve">Устройство мелких покрытий (брандмауэры, парапеты, свесы и т.п.) из листовой оцинкованной стали
---------------------------------------------------------------------
100 м2 покрытия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---------------------------------------------------------------------8085 руб. НР 92%=120%*(0.9*0.85) от ФОТ (8788 руб.)
3867 руб. СП 44%=65%*(0.85*0.8) от ФОТ (8788 руб.)
</v>
      </c>
      <c r="D85" s="65" t="s">
        <v>335</v>
      </c>
      <c r="E85" s="66" t="s">
        <v>336</v>
      </c>
      <c r="F85" s="66" t="s">
        <v>337</v>
      </c>
      <c r="G85" s="66" t="s">
        <v>338</v>
      </c>
      <c r="H85" s="67" t="s">
        <v>339</v>
      </c>
      <c r="I85" s="68">
        <v>20525</v>
      </c>
      <c r="J85" s="66">
        <v>8754</v>
      </c>
      <c r="K85" s="66" t="s">
        <v>340</v>
      </c>
      <c r="L85" s="66" t="str">
        <f>IF(0.375*8890.58=0," ",TEXT(,ROUND((0.375*8890.58*3.48),0)))</f>
        <v>11602</v>
      </c>
      <c r="M85" s="66" t="s">
        <v>341</v>
      </c>
      <c r="N85" s="66" t="s">
        <v>342</v>
      </c>
      <c r="O85" s="69"/>
      <c r="P85" s="69"/>
      <c r="Q85" s="69"/>
      <c r="R85" s="69"/>
      <c r="S85" s="69"/>
      <c r="T85" s="70"/>
      <c r="U85" s="70"/>
      <c r="V85" s="70"/>
      <c r="W85" s="70"/>
      <c r="X85" s="70"/>
      <c r="Y85" s="70"/>
      <c r="Z85" s="70"/>
      <c r="AA85" s="70" t="s">
        <v>286</v>
      </c>
      <c r="AB85" s="70" t="s">
        <v>287</v>
      </c>
      <c r="AC85" s="70">
        <v>8085</v>
      </c>
      <c r="AD85" s="70">
        <v>3867</v>
      </c>
      <c r="AE85" s="79" t="s">
        <v>187</v>
      </c>
      <c r="AF85" s="70" t="s">
        <v>343</v>
      </c>
      <c r="AG85" s="70" t="s">
        <v>53</v>
      </c>
      <c r="AH85" s="70"/>
      <c r="AI85" s="70">
        <f>8754+34</f>
        <v>8788</v>
      </c>
    </row>
    <row r="86" spans="1:35" ht="136.80000000000001" x14ac:dyDescent="0.25">
      <c r="A86" s="62">
        <v>52</v>
      </c>
      <c r="B86" s="63" t="s">
        <v>344</v>
      </c>
      <c r="C86" s="64" t="str">
        <f t="shared" ca="1" si="2"/>
        <v xml:space="preserve">Сталь листовая оцинкованная толщиной листа 0,7 мм
---------------------------------------------------------------------
т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</v>
      </c>
      <c r="D86" s="65">
        <v>-0.29330000000000001</v>
      </c>
      <c r="E86" s="66">
        <v>11200</v>
      </c>
      <c r="F86" s="66"/>
      <c r="G86" s="66" t="s">
        <v>291</v>
      </c>
      <c r="H86" s="67" t="s">
        <v>292</v>
      </c>
      <c r="I86" s="68">
        <v>-11412</v>
      </c>
      <c r="J86" s="66"/>
      <c r="K86" s="66"/>
      <c r="L86" s="66" t="str">
        <f>IF(-0.2933*11200=0," ",TEXT(,ROUND((-0.2933*11200*3.474),0)))</f>
        <v>-11412</v>
      </c>
      <c r="M86" s="66"/>
      <c r="N86" s="66"/>
      <c r="O86" s="69"/>
      <c r="P86" s="69"/>
      <c r="Q86" s="69"/>
      <c r="R86" s="69"/>
      <c r="S86" s="69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9" t="s">
        <v>187</v>
      </c>
      <c r="AF86" s="70" t="s">
        <v>293</v>
      </c>
      <c r="AG86" s="70" t="s">
        <v>194</v>
      </c>
      <c r="AH86" s="70"/>
      <c r="AI86" s="70">
        <f>0+0</f>
        <v>0</v>
      </c>
    </row>
    <row r="87" spans="1:35" ht="57" x14ac:dyDescent="0.25">
      <c r="A87" s="62">
        <v>53</v>
      </c>
      <c r="B87" s="63" t="s">
        <v>152</v>
      </c>
      <c r="C87" s="64" t="str">
        <f t="shared" ca="1" si="2"/>
        <v xml:space="preserve">Лист плоский с полимерным покрытием толщиной 0,55 мм 372/1,18/5,56=56,7
---------------------------------------------------------------------
м2
</v>
      </c>
      <c r="D87" s="65" t="s">
        <v>345</v>
      </c>
      <c r="E87" s="66">
        <v>56.7</v>
      </c>
      <c r="F87" s="66"/>
      <c r="G87" s="66" t="s">
        <v>294</v>
      </c>
      <c r="H87" s="67" t="s">
        <v>154</v>
      </c>
      <c r="I87" s="68">
        <v>16224</v>
      </c>
      <c r="J87" s="66"/>
      <c r="K87" s="66"/>
      <c r="L87" s="66" t="str">
        <f>IF(51.45614*56.7=0," ",TEXT(,ROUND((51.45614*56.7*5.56),0)))</f>
        <v>16222</v>
      </c>
      <c r="M87" s="66"/>
      <c r="N87" s="66"/>
      <c r="O87" s="69"/>
      <c r="P87" s="69"/>
      <c r="Q87" s="69"/>
      <c r="R87" s="69"/>
      <c r="S87" s="69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 t="s">
        <v>295</v>
      </c>
      <c r="AG87" s="70" t="s">
        <v>296</v>
      </c>
      <c r="AH87" s="70"/>
      <c r="AI87" s="70">
        <f>0+0</f>
        <v>0</v>
      </c>
    </row>
    <row r="88" spans="1:35" ht="228" x14ac:dyDescent="0.25">
      <c r="A88" s="62">
        <v>54</v>
      </c>
      <c r="B88" s="63" t="s">
        <v>346</v>
      </c>
      <c r="C88" s="64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для обеспечения показателей пожарной опасности древесины Г1, РП1, В1, Д2, Т2, по НПБ 244 и для получения трудногорючей и медленно распространяющей пламя древесины по ГОСТ 12.1.044
---------------------------------------------------------------------
100 м2 обрабатываемой поверхности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---------------------------------------------------------------------40119 руб. НР 77%=100%*(0.9*0.85) от ФОТ (52102 руб.)
25009 руб. СП 48%=70%*(0.85*0.8) от ФОТ (52102 руб.)
</v>
      </c>
      <c r="D88" s="65">
        <v>31</v>
      </c>
      <c r="E88" s="66" t="s">
        <v>347</v>
      </c>
      <c r="F88" s="66" t="s">
        <v>348</v>
      </c>
      <c r="G88" s="66" t="s">
        <v>349</v>
      </c>
      <c r="H88" s="67" t="s">
        <v>350</v>
      </c>
      <c r="I88" s="68">
        <v>123008</v>
      </c>
      <c r="J88" s="66">
        <v>50818</v>
      </c>
      <c r="K88" s="66" t="s">
        <v>351</v>
      </c>
      <c r="L88" s="66" t="str">
        <f>IF(31*1.85=0," ",TEXT(,ROUND((31*1.85*19.16),0)))</f>
        <v>1099</v>
      </c>
      <c r="M88" s="66" t="s">
        <v>352</v>
      </c>
      <c r="N88" s="66" t="s">
        <v>353</v>
      </c>
      <c r="O88" s="69"/>
      <c r="P88" s="69"/>
      <c r="Q88" s="69"/>
      <c r="R88" s="69"/>
      <c r="S88" s="69"/>
      <c r="T88" s="70"/>
      <c r="U88" s="70"/>
      <c r="V88" s="70"/>
      <c r="W88" s="70"/>
      <c r="X88" s="70"/>
      <c r="Y88" s="70"/>
      <c r="Z88" s="70"/>
      <c r="AA88" s="70" t="s">
        <v>208</v>
      </c>
      <c r="AB88" s="70" t="s">
        <v>39</v>
      </c>
      <c r="AC88" s="70">
        <v>40119</v>
      </c>
      <c r="AD88" s="70">
        <v>25009</v>
      </c>
      <c r="AE88" s="79" t="s">
        <v>167</v>
      </c>
      <c r="AF88" s="70" t="s">
        <v>354</v>
      </c>
      <c r="AG88" s="70" t="s">
        <v>355</v>
      </c>
      <c r="AH88" s="70"/>
      <c r="AI88" s="70">
        <f>50818+1284</f>
        <v>52102</v>
      </c>
    </row>
    <row r="89" spans="1:35" ht="57" x14ac:dyDescent="0.25">
      <c r="A89" s="62">
        <v>55</v>
      </c>
      <c r="B89" s="63" t="s">
        <v>356</v>
      </c>
      <c r="C89" s="64" t="str">
        <f t="shared" ca="1" si="2"/>
        <v xml:space="preserve">Биопирен "Пирилакс-Люкс" 226,70/5,56=40,77
---------------------------------------------------------------------
кг
</v>
      </c>
      <c r="D89" s="65">
        <v>1426</v>
      </c>
      <c r="E89" s="66">
        <v>40.770000000000003</v>
      </c>
      <c r="F89" s="66"/>
      <c r="G89" s="66" t="s">
        <v>357</v>
      </c>
      <c r="H89" s="67" t="s">
        <v>154</v>
      </c>
      <c r="I89" s="68">
        <v>323247</v>
      </c>
      <c r="J89" s="66"/>
      <c r="K89" s="66"/>
      <c r="L89" s="66" t="str">
        <f>IF(1426*40.77=0," ",TEXT(,ROUND((1426*40.77*5.56),0)))</f>
        <v>323247</v>
      </c>
      <c r="M89" s="66"/>
      <c r="N89" s="66"/>
      <c r="O89" s="69"/>
      <c r="P89" s="69"/>
      <c r="Q89" s="69"/>
      <c r="R89" s="69"/>
      <c r="S89" s="69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 t="s">
        <v>358</v>
      </c>
      <c r="AG89" s="70" t="s">
        <v>359</v>
      </c>
      <c r="AH89" s="70"/>
      <c r="AI89" s="70">
        <f>0+0</f>
        <v>0</v>
      </c>
    </row>
    <row r="90" spans="1:35" ht="18.45" customHeight="1" x14ac:dyDescent="0.25">
      <c r="A90" s="88" t="s">
        <v>360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</row>
    <row r="91" spans="1:35" ht="148.19999999999999" x14ac:dyDescent="0.25">
      <c r="A91" s="62">
        <v>56</v>
      </c>
      <c r="B91" s="63" t="s">
        <v>361</v>
      </c>
      <c r="C91" s="64" t="str">
        <f t="shared" ref="C91:C96" ca="1" si="3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Устройство слуховых окон
---------------------------------------------------------------------
1 слуховое окно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---------------------------------------------------------------------9157 руб. НР 90%=118%*(0.9*0.85) от ФОТ (10174 руб.)
4375 руб. СП 43%=63%*(0.85*0.8) от ФОТ (10174 руб.)
</v>
      </c>
      <c r="D91" s="65">
        <v>9</v>
      </c>
      <c r="E91" s="66" t="s">
        <v>362</v>
      </c>
      <c r="F91" s="66" t="s">
        <v>363</v>
      </c>
      <c r="G91" s="66" t="s">
        <v>364</v>
      </c>
      <c r="H91" s="67" t="s">
        <v>365</v>
      </c>
      <c r="I91" s="68">
        <v>27354</v>
      </c>
      <c r="J91" s="66">
        <v>9887</v>
      </c>
      <c r="K91" s="66" t="s">
        <v>366</v>
      </c>
      <c r="L91" s="66" t="str">
        <f>IF(9*300.2=0," ",TEXT(,ROUND((9*300.2*5.43),0)))</f>
        <v>14671</v>
      </c>
      <c r="M91" s="66" t="s">
        <v>367</v>
      </c>
      <c r="N91" s="66" t="s">
        <v>368</v>
      </c>
      <c r="O91" s="69"/>
      <c r="P91" s="69"/>
      <c r="Q91" s="69"/>
      <c r="R91" s="69"/>
      <c r="S91" s="69"/>
      <c r="T91" s="70"/>
      <c r="U91" s="70"/>
      <c r="V91" s="70"/>
      <c r="W91" s="70"/>
      <c r="X91" s="70"/>
      <c r="Y91" s="70"/>
      <c r="Z91" s="70"/>
      <c r="AA91" s="70" t="s">
        <v>220</v>
      </c>
      <c r="AB91" s="70" t="s">
        <v>221</v>
      </c>
      <c r="AC91" s="70">
        <v>9157</v>
      </c>
      <c r="AD91" s="70">
        <v>4375</v>
      </c>
      <c r="AE91" s="79" t="s">
        <v>167</v>
      </c>
      <c r="AF91" s="70" t="s">
        <v>369</v>
      </c>
      <c r="AG91" s="70" t="s">
        <v>370</v>
      </c>
      <c r="AH91" s="70"/>
      <c r="AI91" s="70">
        <f>9887+287</f>
        <v>10174</v>
      </c>
    </row>
    <row r="92" spans="1:35" ht="57" x14ac:dyDescent="0.25">
      <c r="A92" s="62">
        <v>57</v>
      </c>
      <c r="B92" s="63" t="s">
        <v>371</v>
      </c>
      <c r="C92" s="64" t="str">
        <f t="shared" ca="1" si="3"/>
        <v xml:space="preserve">Шпингалеты дверные размером 230х26 мм, оцинкованные или окрашенные
---------------------------------------------------------------------
компл.
</v>
      </c>
      <c r="D92" s="65">
        <v>9</v>
      </c>
      <c r="E92" s="66">
        <v>13.42</v>
      </c>
      <c r="F92" s="66"/>
      <c r="G92" s="66" t="s">
        <v>372</v>
      </c>
      <c r="H92" s="67" t="s">
        <v>373</v>
      </c>
      <c r="I92" s="68">
        <v>240</v>
      </c>
      <c r="J92" s="66"/>
      <c r="K92" s="66"/>
      <c r="L92" s="66" t="str">
        <f>IF(9*13.42=0," ",TEXT(,ROUND((9*13.42*1.986),0)))</f>
        <v>240</v>
      </c>
      <c r="M92" s="66"/>
      <c r="N92" s="66"/>
      <c r="O92" s="69"/>
      <c r="P92" s="69"/>
      <c r="Q92" s="69"/>
      <c r="R92" s="69"/>
      <c r="S92" s="69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 t="s">
        <v>374</v>
      </c>
      <c r="AG92" s="70" t="s">
        <v>375</v>
      </c>
      <c r="AH92" s="70"/>
      <c r="AI92" s="70">
        <f>0+0</f>
        <v>0</v>
      </c>
    </row>
    <row r="93" spans="1:35" ht="57" x14ac:dyDescent="0.25">
      <c r="A93" s="62">
        <v>58</v>
      </c>
      <c r="B93" s="63" t="s">
        <v>376</v>
      </c>
      <c r="C93" s="64" t="str">
        <f t="shared" ca="1" si="3"/>
        <v xml:space="preserve">Петли форточные накладные размером 70х55 мм
---------------------------------------------------------------------
компл.
</v>
      </c>
      <c r="D93" s="65">
        <v>9</v>
      </c>
      <c r="E93" s="66">
        <v>3.74</v>
      </c>
      <c r="F93" s="66"/>
      <c r="G93" s="66" t="s">
        <v>377</v>
      </c>
      <c r="H93" s="67" t="s">
        <v>378</v>
      </c>
      <c r="I93" s="68">
        <v>79</v>
      </c>
      <c r="J93" s="66"/>
      <c r="K93" s="66"/>
      <c r="L93" s="66" t="str">
        <f>IF(9*3.74=0," ",TEXT(,ROUND((9*3.74*2.338),0)))</f>
        <v>79</v>
      </c>
      <c r="M93" s="66"/>
      <c r="N93" s="66"/>
      <c r="O93" s="69"/>
      <c r="P93" s="69"/>
      <c r="Q93" s="69"/>
      <c r="R93" s="69"/>
      <c r="S93" s="69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 t="s">
        <v>379</v>
      </c>
      <c r="AG93" s="70" t="s">
        <v>375</v>
      </c>
      <c r="AH93" s="70"/>
      <c r="AI93" s="70">
        <f>0+0</f>
        <v>0</v>
      </c>
    </row>
    <row r="94" spans="1:35" ht="159.6" x14ac:dyDescent="0.25">
      <c r="A94" s="62">
        <v>59</v>
      </c>
      <c r="B94" s="63" t="s">
        <v>380</v>
      </c>
      <c r="C94" s="64" t="str">
        <f t="shared" ca="1" si="3"/>
        <v xml:space="preserve">Устройство мелких покрытий (брандмауэры, парапеты, свесы и т.п.) из листовой оцинкованной стали
---------------------------------------------------------------------
100 м2 покрытия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---------------------------------------------------------------------12221 руб. НР 92%=120%*(0.9*0.85) от ФОТ (13284 руб.)
5845 руб. СП 44%=65%*(0.85*0.8) от ФОТ (13284 руб.)
</v>
      </c>
      <c r="D94" s="65">
        <v>0.70879999999999999</v>
      </c>
      <c r="E94" s="66" t="s">
        <v>381</v>
      </c>
      <c r="F94" s="66" t="s">
        <v>382</v>
      </c>
      <c r="G94" s="66" t="s">
        <v>338</v>
      </c>
      <c r="H94" s="67" t="s">
        <v>339</v>
      </c>
      <c r="I94" s="68">
        <v>35430</v>
      </c>
      <c r="J94" s="66">
        <v>13250</v>
      </c>
      <c r="K94" s="66" t="s">
        <v>383</v>
      </c>
      <c r="L94" s="66" t="str">
        <f>IF(0.7088*8890.58=0," ",TEXT(,ROUND((0.7088*8890.58*3.48),0)))</f>
        <v>21930</v>
      </c>
      <c r="M94" s="66" t="s">
        <v>384</v>
      </c>
      <c r="N94" s="66" t="s">
        <v>385</v>
      </c>
      <c r="O94" s="69"/>
      <c r="P94" s="69"/>
      <c r="Q94" s="69"/>
      <c r="R94" s="69"/>
      <c r="S94" s="69"/>
      <c r="T94" s="70"/>
      <c r="U94" s="70"/>
      <c r="V94" s="70"/>
      <c r="W94" s="70"/>
      <c r="X94" s="70"/>
      <c r="Y94" s="70"/>
      <c r="Z94" s="70"/>
      <c r="AA94" s="70" t="s">
        <v>286</v>
      </c>
      <c r="AB94" s="70" t="s">
        <v>287</v>
      </c>
      <c r="AC94" s="70">
        <v>12221</v>
      </c>
      <c r="AD94" s="70">
        <v>5845</v>
      </c>
      <c r="AE94" s="79" t="s">
        <v>167</v>
      </c>
      <c r="AF94" s="70" t="s">
        <v>343</v>
      </c>
      <c r="AG94" s="70" t="s">
        <v>53</v>
      </c>
      <c r="AH94" s="70"/>
      <c r="AI94" s="70">
        <f>13250+34</f>
        <v>13284</v>
      </c>
    </row>
    <row r="95" spans="1:35" ht="57" x14ac:dyDescent="0.25">
      <c r="A95" s="62">
        <v>60</v>
      </c>
      <c r="B95" s="63" t="s">
        <v>290</v>
      </c>
      <c r="C95" s="64" t="str">
        <f t="shared" ca="1" si="3"/>
        <v xml:space="preserve">Сталь листовая оцинкованная толщиной листа 0,7 мм
---------------------------------------------------------------------
т
</v>
      </c>
      <c r="D95" s="65">
        <v>-0.55430000000000001</v>
      </c>
      <c r="E95" s="66">
        <v>11200</v>
      </c>
      <c r="F95" s="66"/>
      <c r="G95" s="66" t="s">
        <v>291</v>
      </c>
      <c r="H95" s="67" t="s">
        <v>292</v>
      </c>
      <c r="I95" s="68">
        <v>-21567</v>
      </c>
      <c r="J95" s="66"/>
      <c r="K95" s="66"/>
      <c r="L95" s="66" t="str">
        <f>IF(-0.5543*11200=0," ",TEXT(,ROUND((-0.5543*11200*3.474),0)))</f>
        <v>-21567</v>
      </c>
      <c r="M95" s="66"/>
      <c r="N95" s="66"/>
      <c r="O95" s="69"/>
      <c r="P95" s="69"/>
      <c r="Q95" s="69"/>
      <c r="R95" s="69"/>
      <c r="S95" s="69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 t="s">
        <v>293</v>
      </c>
      <c r="AG95" s="70" t="s">
        <v>194</v>
      </c>
      <c r="AH95" s="70"/>
      <c r="AI95" s="70">
        <f>0+0</f>
        <v>0</v>
      </c>
    </row>
    <row r="96" spans="1:35" ht="57" x14ac:dyDescent="0.25">
      <c r="A96" s="62">
        <v>61</v>
      </c>
      <c r="B96" s="63" t="s">
        <v>152</v>
      </c>
      <c r="C96" s="64" t="str">
        <f t="shared" ca="1" si="3"/>
        <v xml:space="preserve">Лист плоский с полимерным покрытием толщиной 0,55 мм 372/1,18/5,56=56,7
---------------------------------------------------------------------
м2
</v>
      </c>
      <c r="D96" s="65" t="s">
        <v>386</v>
      </c>
      <c r="E96" s="66">
        <v>56.7</v>
      </c>
      <c r="F96" s="66"/>
      <c r="G96" s="66" t="s">
        <v>294</v>
      </c>
      <c r="H96" s="67" t="s">
        <v>154</v>
      </c>
      <c r="I96" s="68">
        <v>30658</v>
      </c>
      <c r="J96" s="66"/>
      <c r="K96" s="66"/>
      <c r="L96" s="66" t="str">
        <f>IF(97.245614*56.7=0," ",TEXT(,ROUND((97.245614*56.7*5.56),0)))</f>
        <v>30657</v>
      </c>
      <c r="M96" s="66"/>
      <c r="N96" s="66"/>
      <c r="O96" s="69"/>
      <c r="P96" s="69"/>
      <c r="Q96" s="69"/>
      <c r="R96" s="69"/>
      <c r="S96" s="69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 t="s">
        <v>295</v>
      </c>
      <c r="AG96" s="70" t="s">
        <v>296</v>
      </c>
      <c r="AH96" s="70"/>
      <c r="AI96" s="70">
        <f>0+0</f>
        <v>0</v>
      </c>
    </row>
    <row r="97" spans="1:35" ht="18.45" customHeight="1" x14ac:dyDescent="0.25">
      <c r="A97" s="88" t="s">
        <v>387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</row>
    <row r="98" spans="1:35" ht="91.2" x14ac:dyDescent="0.25">
      <c r="A98" s="62">
        <v>62</v>
      </c>
      <c r="B98" s="63" t="s">
        <v>388</v>
      </c>
      <c r="C98" s="64" t="str">
        <f t="shared" ref="C98:C110" ca="1" si="4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Устройство: переходных мостиков на чердаке (приставная лестница к слуховому окну)
---------------------------------------------------------------------
100 п. м переходных мостиков
---------------------------------------------------------------------16675 руб. НР 66%=78%*0.85 от ФОТ (25265 руб.)
10106 руб. СП 40%=50%*0.8 от ФОТ (25265 руб.)
</v>
      </c>
      <c r="D98" s="65">
        <v>1.7749999999999999</v>
      </c>
      <c r="E98" s="66" t="s">
        <v>389</v>
      </c>
      <c r="F98" s="66" t="s">
        <v>390</v>
      </c>
      <c r="G98" s="66" t="s">
        <v>391</v>
      </c>
      <c r="H98" s="67" t="s">
        <v>392</v>
      </c>
      <c r="I98" s="68">
        <v>90063</v>
      </c>
      <c r="J98" s="66">
        <v>25113</v>
      </c>
      <c r="K98" s="66" t="s">
        <v>393</v>
      </c>
      <c r="L98" s="66" t="str">
        <f>IF(1.775*6796.81=0," ",TEXT(,ROUND((1.775*6796.81*5.11),0)))</f>
        <v>61649</v>
      </c>
      <c r="M98" s="66" t="s">
        <v>394</v>
      </c>
      <c r="N98" s="66" t="s">
        <v>395</v>
      </c>
      <c r="O98" s="69"/>
      <c r="P98" s="69"/>
      <c r="Q98" s="69"/>
      <c r="R98" s="69"/>
      <c r="S98" s="69"/>
      <c r="T98" s="70"/>
      <c r="U98" s="70"/>
      <c r="V98" s="70"/>
      <c r="W98" s="70"/>
      <c r="X98" s="70"/>
      <c r="Y98" s="70"/>
      <c r="Z98" s="70"/>
      <c r="AA98" s="70" t="s">
        <v>227</v>
      </c>
      <c r="AB98" s="70" t="s">
        <v>228</v>
      </c>
      <c r="AC98" s="70">
        <v>16675</v>
      </c>
      <c r="AD98" s="70">
        <v>10106</v>
      </c>
      <c r="AE98" s="70"/>
      <c r="AF98" s="70" t="s">
        <v>396</v>
      </c>
      <c r="AG98" s="70" t="s">
        <v>397</v>
      </c>
      <c r="AH98" s="70"/>
      <c r="AI98" s="70">
        <f>25113+152</f>
        <v>25265</v>
      </c>
    </row>
    <row r="99" spans="1:35" ht="171" x14ac:dyDescent="0.25">
      <c r="A99" s="62">
        <v>63</v>
      </c>
      <c r="B99" s="63" t="s">
        <v>398</v>
      </c>
      <c r="C99" s="64" t="str">
        <f t="shared" ca="1" si="4"/>
        <v xml:space="preserve">Ограждение кровель перилами (кровельная лестница)
---------------------------------------------------------------------
100 м ограждения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---------------------------------------------------------------------374 руб. НР 92%=120%*(0.9*0.85) от ФОТ (406 руб.)
179 руб. СП 44%=65%*(0.85*0.8) от ФОТ (406 руб.)
</v>
      </c>
      <c r="D99" s="65" t="s">
        <v>399</v>
      </c>
      <c r="E99" s="66" t="s">
        <v>400</v>
      </c>
      <c r="F99" s="66" t="s">
        <v>401</v>
      </c>
      <c r="G99" s="66" t="s">
        <v>402</v>
      </c>
      <c r="H99" s="67" t="s">
        <v>403</v>
      </c>
      <c r="I99" s="68">
        <v>6530</v>
      </c>
      <c r="J99" s="66">
        <v>372</v>
      </c>
      <c r="K99" s="66" t="s">
        <v>404</v>
      </c>
      <c r="L99" s="66" t="str">
        <f>IF(0.2604*3032.91=0," ",TEXT(,ROUND((0.2604*3032.91*7.51),0)))</f>
        <v>5931</v>
      </c>
      <c r="M99" s="66" t="s">
        <v>405</v>
      </c>
      <c r="N99" s="66" t="s">
        <v>406</v>
      </c>
      <c r="O99" s="69"/>
      <c r="P99" s="69"/>
      <c r="Q99" s="69"/>
      <c r="R99" s="69"/>
      <c r="S99" s="69"/>
      <c r="T99" s="70"/>
      <c r="U99" s="70"/>
      <c r="V99" s="70"/>
      <c r="W99" s="70"/>
      <c r="X99" s="70"/>
      <c r="Y99" s="70"/>
      <c r="Z99" s="70"/>
      <c r="AA99" s="70" t="s">
        <v>286</v>
      </c>
      <c r="AB99" s="70" t="s">
        <v>287</v>
      </c>
      <c r="AC99" s="70">
        <v>374</v>
      </c>
      <c r="AD99" s="70">
        <v>179</v>
      </c>
      <c r="AE99" s="79" t="s">
        <v>187</v>
      </c>
      <c r="AF99" s="70" t="s">
        <v>407</v>
      </c>
      <c r="AG99" s="70" t="s">
        <v>408</v>
      </c>
      <c r="AH99" s="70"/>
      <c r="AI99" s="70">
        <f>372+34</f>
        <v>406</v>
      </c>
    </row>
    <row r="100" spans="1:35" ht="79.8" x14ac:dyDescent="0.25">
      <c r="A100" s="62">
        <v>64</v>
      </c>
      <c r="B100" s="63" t="s">
        <v>409</v>
      </c>
      <c r="C100" s="64" t="str">
        <f t="shared" ca="1" si="4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---------------------------------------------------------------------
т
</v>
      </c>
      <c r="D100" s="65">
        <v>-7.8100000000000003E-2</v>
      </c>
      <c r="E100" s="66">
        <v>10045</v>
      </c>
      <c r="F100" s="66"/>
      <c r="G100" s="66" t="s">
        <v>191</v>
      </c>
      <c r="H100" s="67" t="s">
        <v>192</v>
      </c>
      <c r="I100" s="68">
        <v>-5914</v>
      </c>
      <c r="J100" s="66"/>
      <c r="K100" s="66"/>
      <c r="L100" s="66" t="str">
        <f>IF(-0.0781*10045=0," ",TEXT(,ROUND((-0.0781*10045*7.534),0)))</f>
        <v>-5911</v>
      </c>
      <c r="M100" s="66"/>
      <c r="N100" s="66"/>
      <c r="O100" s="69"/>
      <c r="P100" s="69"/>
      <c r="Q100" s="69"/>
      <c r="R100" s="69"/>
      <c r="S100" s="69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 t="s">
        <v>410</v>
      </c>
      <c r="AG100" s="70" t="s">
        <v>194</v>
      </c>
      <c r="AH100" s="70"/>
      <c r="AI100" s="70">
        <f>0+0</f>
        <v>0</v>
      </c>
    </row>
    <row r="101" spans="1:35" ht="57" x14ac:dyDescent="0.25">
      <c r="A101" s="62">
        <v>65</v>
      </c>
      <c r="B101" s="63" t="s">
        <v>152</v>
      </c>
      <c r="C101" s="64" t="str">
        <f t="shared" ca="1" si="4"/>
        <v xml:space="preserve">лестница кровельная Л-455х1860 (металлпрофиль) 2300/1,18/5,56=350,57
---------------------------------------------------------------------
шт
</v>
      </c>
      <c r="D101" s="65">
        <v>14</v>
      </c>
      <c r="E101" s="66">
        <v>350.57</v>
      </c>
      <c r="F101" s="66"/>
      <c r="G101" s="66" t="s">
        <v>411</v>
      </c>
      <c r="H101" s="67" t="s">
        <v>154</v>
      </c>
      <c r="I101" s="68">
        <v>27288</v>
      </c>
      <c r="J101" s="66"/>
      <c r="K101" s="66"/>
      <c r="L101" s="66" t="str">
        <f>IF(14*350.57=0," ",TEXT(,ROUND((14*350.57*5.56),0)))</f>
        <v>27288</v>
      </c>
      <c r="M101" s="66"/>
      <c r="N101" s="66"/>
      <c r="O101" s="69"/>
      <c r="P101" s="69"/>
      <c r="Q101" s="69"/>
      <c r="R101" s="69"/>
      <c r="S101" s="69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 t="s">
        <v>412</v>
      </c>
      <c r="AG101" s="70" t="s">
        <v>156</v>
      </c>
      <c r="AH101" s="70"/>
      <c r="AI101" s="70">
        <f>0+0</f>
        <v>0</v>
      </c>
    </row>
    <row r="102" spans="1:35" ht="57" x14ac:dyDescent="0.25">
      <c r="A102" s="62">
        <v>66</v>
      </c>
      <c r="B102" s="63" t="s">
        <v>152</v>
      </c>
      <c r="C102" s="64" t="str">
        <f t="shared" ca="1" si="4"/>
        <v xml:space="preserve">Кронштейн для кровельной лестницы (металлпрофиль) 170/1,18/5,56=25,91
---------------------------------------------------------------------
шт
</v>
      </c>
      <c r="D102" s="65">
        <v>48</v>
      </c>
      <c r="E102" s="66">
        <v>25.91</v>
      </c>
      <c r="F102" s="66"/>
      <c r="G102" s="66" t="s">
        <v>153</v>
      </c>
      <c r="H102" s="67" t="s">
        <v>154</v>
      </c>
      <c r="I102" s="68">
        <v>6917</v>
      </c>
      <c r="J102" s="66"/>
      <c r="K102" s="66"/>
      <c r="L102" s="66" t="str">
        <f>IF(48*25.91=0," ",TEXT(,ROUND((48*25.91*5.56),0)))</f>
        <v>6915</v>
      </c>
      <c r="M102" s="66"/>
      <c r="N102" s="66"/>
      <c r="O102" s="69"/>
      <c r="P102" s="69"/>
      <c r="Q102" s="69"/>
      <c r="R102" s="69"/>
      <c r="S102" s="69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 t="s">
        <v>413</v>
      </c>
      <c r="AG102" s="70" t="s">
        <v>156</v>
      </c>
      <c r="AH102" s="70"/>
      <c r="AI102" s="70">
        <f>0+0</f>
        <v>0</v>
      </c>
    </row>
    <row r="103" spans="1:35" ht="171" x14ac:dyDescent="0.25">
      <c r="A103" s="62">
        <v>67</v>
      </c>
      <c r="B103" s="63" t="s">
        <v>398</v>
      </c>
      <c r="C103" s="64" t="str">
        <f t="shared" ca="1" si="4"/>
        <v xml:space="preserve">Ограждение кровель перилами (страховочный трос)
---------------------------------------------------------------------
100 м ограждения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---------------------------------------------------------------------1213 руб. НР 92%=120%*(0.9*0.85) от ФОТ (1319 руб.)
580 руб. СП 44%=65%*(0.85*0.8) от ФОТ (1319 руб.)
</v>
      </c>
      <c r="D103" s="65">
        <v>0.86</v>
      </c>
      <c r="E103" s="66" t="s">
        <v>400</v>
      </c>
      <c r="F103" s="66" t="s">
        <v>401</v>
      </c>
      <c r="G103" s="66" t="s">
        <v>402</v>
      </c>
      <c r="H103" s="67" t="s">
        <v>403</v>
      </c>
      <c r="I103" s="68">
        <v>21576</v>
      </c>
      <c r="J103" s="66">
        <v>1234</v>
      </c>
      <c r="K103" s="66" t="s">
        <v>414</v>
      </c>
      <c r="L103" s="66" t="str">
        <f>IF(0.86*3032.91=0," ",TEXT(,ROUND((0.86*3032.91*7.51),0)))</f>
        <v>19588</v>
      </c>
      <c r="M103" s="66" t="s">
        <v>405</v>
      </c>
      <c r="N103" s="66" t="s">
        <v>415</v>
      </c>
      <c r="O103" s="69"/>
      <c r="P103" s="69"/>
      <c r="Q103" s="69"/>
      <c r="R103" s="69"/>
      <c r="S103" s="69"/>
      <c r="T103" s="70"/>
      <c r="U103" s="70"/>
      <c r="V103" s="70"/>
      <c r="W103" s="70"/>
      <c r="X103" s="70"/>
      <c r="Y103" s="70"/>
      <c r="Z103" s="70"/>
      <c r="AA103" s="70" t="s">
        <v>286</v>
      </c>
      <c r="AB103" s="70" t="s">
        <v>287</v>
      </c>
      <c r="AC103" s="70">
        <v>1213</v>
      </c>
      <c r="AD103" s="70">
        <v>580</v>
      </c>
      <c r="AE103" s="79" t="s">
        <v>187</v>
      </c>
      <c r="AF103" s="70" t="s">
        <v>416</v>
      </c>
      <c r="AG103" s="70" t="s">
        <v>408</v>
      </c>
      <c r="AH103" s="70"/>
      <c r="AI103" s="70">
        <f>1234+85</f>
        <v>1319</v>
      </c>
    </row>
    <row r="104" spans="1:35" ht="79.8" x14ac:dyDescent="0.25">
      <c r="A104" s="62">
        <v>68</v>
      </c>
      <c r="B104" s="63" t="s">
        <v>409</v>
      </c>
      <c r="C104" s="64" t="str">
        <f t="shared" ca="1" si="4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---------------------------------------------------------------------
т
</v>
      </c>
      <c r="D104" s="65">
        <v>-0.25800000000000001</v>
      </c>
      <c r="E104" s="66">
        <v>10045</v>
      </c>
      <c r="F104" s="66"/>
      <c r="G104" s="66" t="s">
        <v>191</v>
      </c>
      <c r="H104" s="67" t="s">
        <v>192</v>
      </c>
      <c r="I104" s="68">
        <v>-19528</v>
      </c>
      <c r="J104" s="66"/>
      <c r="K104" s="66"/>
      <c r="L104" s="66" t="str">
        <f>IF(-0.258*10045=0," ",TEXT(,ROUND((-0.258*10045*7.534),0)))</f>
        <v>-19525</v>
      </c>
      <c r="M104" s="66"/>
      <c r="N104" s="66"/>
      <c r="O104" s="69"/>
      <c r="P104" s="69"/>
      <c r="Q104" s="69"/>
      <c r="R104" s="69"/>
      <c r="S104" s="69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 t="s">
        <v>410</v>
      </c>
      <c r="AG104" s="70" t="s">
        <v>194</v>
      </c>
      <c r="AH104" s="70"/>
      <c r="AI104" s="70">
        <f>0+0</f>
        <v>0</v>
      </c>
    </row>
    <row r="105" spans="1:35" ht="57" x14ac:dyDescent="0.25">
      <c r="A105" s="62">
        <v>69</v>
      </c>
      <c r="B105" s="63" t="s">
        <v>417</v>
      </c>
      <c r="C105" s="64" t="str">
        <f t="shared" ca="1" si="4"/>
        <v xml:space="preserve">Трос стальной
---------------------------------------------------------------------
м
</v>
      </c>
      <c r="D105" s="65">
        <v>86</v>
      </c>
      <c r="E105" s="66">
        <v>12.03</v>
      </c>
      <c r="F105" s="66"/>
      <c r="G105" s="66" t="s">
        <v>418</v>
      </c>
      <c r="H105" s="67" t="s">
        <v>419</v>
      </c>
      <c r="I105" s="68">
        <v>7161</v>
      </c>
      <c r="J105" s="66"/>
      <c r="K105" s="66"/>
      <c r="L105" s="66" t="str">
        <f>IF(86*12.03=0," ",TEXT(,ROUND((86*12.03*6.919),0)))</f>
        <v>7158</v>
      </c>
      <c r="M105" s="66"/>
      <c r="N105" s="66"/>
      <c r="O105" s="69"/>
      <c r="P105" s="69"/>
      <c r="Q105" s="69"/>
      <c r="R105" s="69"/>
      <c r="S105" s="69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 t="s">
        <v>420</v>
      </c>
      <c r="AG105" s="70" t="s">
        <v>333</v>
      </c>
      <c r="AH105" s="70"/>
      <c r="AI105" s="70">
        <f>0+0</f>
        <v>0</v>
      </c>
    </row>
    <row r="106" spans="1:35" ht="57" x14ac:dyDescent="0.25">
      <c r="A106" s="62">
        <v>70</v>
      </c>
      <c r="B106" s="63" t="s">
        <v>421</v>
      </c>
      <c r="C106" s="64" t="str">
        <f t="shared" ca="1" si="4"/>
        <v xml:space="preserve">Анкер тросовый
---------------------------------------------------------------------
100 шт.
</v>
      </c>
      <c r="D106" s="65">
        <v>0.28999999999999998</v>
      </c>
      <c r="E106" s="66">
        <v>3000</v>
      </c>
      <c r="F106" s="66"/>
      <c r="G106" s="66" t="s">
        <v>422</v>
      </c>
      <c r="H106" s="67" t="s">
        <v>423</v>
      </c>
      <c r="I106" s="68">
        <v>2611</v>
      </c>
      <c r="J106" s="66"/>
      <c r="K106" s="66"/>
      <c r="L106" s="66" t="str">
        <f>IF(0.29*3000=0," ",TEXT(,ROUND((0.29*3000*3.001),0)))</f>
        <v>2611</v>
      </c>
      <c r="M106" s="66"/>
      <c r="N106" s="66"/>
      <c r="O106" s="69"/>
      <c r="P106" s="69"/>
      <c r="Q106" s="69"/>
      <c r="R106" s="69"/>
      <c r="S106" s="69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 t="s">
        <v>424</v>
      </c>
      <c r="AG106" s="70" t="s">
        <v>129</v>
      </c>
      <c r="AH106" s="70"/>
      <c r="AI106" s="70">
        <f>0+0</f>
        <v>0</v>
      </c>
    </row>
    <row r="107" spans="1:35" ht="171" x14ac:dyDescent="0.25">
      <c r="A107" s="62">
        <v>71</v>
      </c>
      <c r="B107" s="63" t="s">
        <v>398</v>
      </c>
      <c r="C107" s="64" t="str">
        <f t="shared" ca="1" si="4"/>
        <v xml:space="preserve">Ограждение кровель перилами
---------------------------------------------------------------------
100 м ограждения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ТЗМ=1,25;
11.2 Ремонт сложных кровель ОЗП=1,25; ЭМ=1,25; ЗПМ=1,25; ТЗ=1,25; ТЗМ=1,25
---------------------------------------------------------------------2690 руб. НР 92%=120%*(0.9*0.85) от ФОТ (2924 руб.)
1287 руб. СП 44%=65%*(0.85*0.8) от ФОТ (2924 руб.)
</v>
      </c>
      <c r="D107" s="65">
        <v>1.89</v>
      </c>
      <c r="E107" s="66" t="s">
        <v>400</v>
      </c>
      <c r="F107" s="66" t="s">
        <v>401</v>
      </c>
      <c r="G107" s="66" t="s">
        <v>402</v>
      </c>
      <c r="H107" s="67" t="s">
        <v>403</v>
      </c>
      <c r="I107" s="68">
        <v>47419</v>
      </c>
      <c r="J107" s="66">
        <v>2721</v>
      </c>
      <c r="K107" s="66" t="s">
        <v>425</v>
      </c>
      <c r="L107" s="66" t="str">
        <f>IF(1.89*3032.91=0," ",TEXT(,ROUND((1.89*3032.91*7.51),0)))</f>
        <v>43049</v>
      </c>
      <c r="M107" s="66" t="s">
        <v>405</v>
      </c>
      <c r="N107" s="66" t="s">
        <v>426</v>
      </c>
      <c r="O107" s="69"/>
      <c r="P107" s="69"/>
      <c r="Q107" s="69"/>
      <c r="R107" s="69"/>
      <c r="S107" s="69"/>
      <c r="T107" s="70"/>
      <c r="U107" s="70"/>
      <c r="V107" s="70"/>
      <c r="W107" s="70"/>
      <c r="X107" s="70"/>
      <c r="Y107" s="70"/>
      <c r="Z107" s="70"/>
      <c r="AA107" s="70" t="s">
        <v>286</v>
      </c>
      <c r="AB107" s="70" t="s">
        <v>287</v>
      </c>
      <c r="AC107" s="70">
        <v>2690</v>
      </c>
      <c r="AD107" s="70">
        <v>1287</v>
      </c>
      <c r="AE107" s="79" t="s">
        <v>187</v>
      </c>
      <c r="AF107" s="70" t="s">
        <v>427</v>
      </c>
      <c r="AG107" s="70" t="s">
        <v>408</v>
      </c>
      <c r="AH107" s="70"/>
      <c r="AI107" s="70">
        <f>2721+203</f>
        <v>2924</v>
      </c>
    </row>
    <row r="108" spans="1:35" ht="91.2" x14ac:dyDescent="0.25">
      <c r="A108" s="62">
        <v>72</v>
      </c>
      <c r="B108" s="63" t="s">
        <v>409</v>
      </c>
      <c r="C108" s="64" t="str">
        <f t="shared" ca="1" si="4"/>
        <v xml:space="preserve">Дополнительно: 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---------------------------------------------------------------------
т
</v>
      </c>
      <c r="D108" s="65" t="s">
        <v>428</v>
      </c>
      <c r="E108" s="66">
        <v>10045</v>
      </c>
      <c r="F108" s="66"/>
      <c r="G108" s="66" t="s">
        <v>191</v>
      </c>
      <c r="H108" s="67" t="s">
        <v>192</v>
      </c>
      <c r="I108" s="68">
        <v>79438</v>
      </c>
      <c r="J108" s="66"/>
      <c r="K108" s="66"/>
      <c r="L108" s="66" t="str">
        <f>IF(1.049716*10045=0," ",TEXT(,ROUND((1.049716*10045*7.534),0)))</f>
        <v>79441</v>
      </c>
      <c r="M108" s="66"/>
      <c r="N108" s="66"/>
      <c r="O108" s="69"/>
      <c r="P108" s="69"/>
      <c r="Q108" s="69"/>
      <c r="R108" s="69"/>
      <c r="S108" s="69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 t="s">
        <v>429</v>
      </c>
      <c r="AG108" s="70" t="s">
        <v>194</v>
      </c>
      <c r="AH108" s="70"/>
      <c r="AI108" s="70">
        <f>0+0</f>
        <v>0</v>
      </c>
    </row>
    <row r="109" spans="1:35" ht="159.6" x14ac:dyDescent="0.25">
      <c r="A109" s="62">
        <v>73</v>
      </c>
      <c r="B109" s="63" t="s">
        <v>195</v>
      </c>
      <c r="C109" s="64" t="str">
        <f t="shared" ca="1" si="4"/>
        <v xml:space="preserve">Огрунтовка металлических поверхностей за один раз: грунтовкой ГФ-021
---------------------------------------------------------------------
100 м2 окрашиваемой поверхности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---------------------------------------------------------------------700 руб. НР 69%=90%*(0.9*0.85) от ФОТ (1014 руб.)
487 руб. СП 48%=70%*(0.85*0.8) от ФОТ (1014 руб.)
</v>
      </c>
      <c r="D109" s="65">
        <v>0.91500000000000004</v>
      </c>
      <c r="E109" s="66" t="s">
        <v>196</v>
      </c>
      <c r="F109" s="66" t="s">
        <v>197</v>
      </c>
      <c r="G109" s="66" t="s">
        <v>198</v>
      </c>
      <c r="H109" s="67" t="s">
        <v>199</v>
      </c>
      <c r="I109" s="68">
        <v>1925</v>
      </c>
      <c r="J109" s="66">
        <v>1014</v>
      </c>
      <c r="K109" s="66">
        <v>121</v>
      </c>
      <c r="L109" s="66" t="str">
        <f>IF(0.915*202.72=0," ",TEXT(,ROUND((0.915*202.72*4.27),0)))</f>
        <v>792</v>
      </c>
      <c r="M109" s="66" t="s">
        <v>200</v>
      </c>
      <c r="N109" s="66" t="s">
        <v>430</v>
      </c>
      <c r="O109" s="69"/>
      <c r="P109" s="69"/>
      <c r="Q109" s="69"/>
      <c r="R109" s="69"/>
      <c r="S109" s="69"/>
      <c r="T109" s="70"/>
      <c r="U109" s="70"/>
      <c r="V109" s="70"/>
      <c r="W109" s="70"/>
      <c r="X109" s="70"/>
      <c r="Y109" s="70"/>
      <c r="Z109" s="70"/>
      <c r="AA109" s="70" t="s">
        <v>185</v>
      </c>
      <c r="AB109" s="70" t="s">
        <v>39</v>
      </c>
      <c r="AC109" s="70">
        <v>700</v>
      </c>
      <c r="AD109" s="70">
        <v>487</v>
      </c>
      <c r="AE109" s="79" t="s">
        <v>167</v>
      </c>
      <c r="AF109" s="70" t="s">
        <v>202</v>
      </c>
      <c r="AG109" s="70" t="s">
        <v>203</v>
      </c>
      <c r="AH109" s="70"/>
      <c r="AI109" s="70">
        <f>1014+0</f>
        <v>1014</v>
      </c>
    </row>
    <row r="110" spans="1:35" ht="182.4" x14ac:dyDescent="0.25">
      <c r="A110" s="62">
        <v>74</v>
      </c>
      <c r="B110" s="63" t="s">
        <v>431</v>
      </c>
      <c r="C110" s="64" t="str">
        <f t="shared" ca="1" si="4"/>
        <v xml:space="preserve">Окраска металлических огрунтованных поверхностей: эмалью ПФ-115
---------------------------------------------------------------------
100 м2 окрашиваемой поверхности
---------------------------------------------------------------------КОЭФ. К ПОЗИЦИИ:
2 слоя ПЗ=2 (ОЗП=2; ЭМ=2 к расх.; ЗПМ=2; МАТ=2 к расх.; ТЗ=2; ТЗМ=2);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---------------------------------------------------------------------851 руб. НР 69%=90%*(0.9*0.85) от ФОТ (1234 руб.)
592 руб. СП 48%=70%*(0.85*0.8) от ФОТ (1234 руб.)
</v>
      </c>
      <c r="D110" s="65">
        <v>0.91500000000000004</v>
      </c>
      <c r="E110" s="66" t="s">
        <v>432</v>
      </c>
      <c r="F110" s="66" t="s">
        <v>433</v>
      </c>
      <c r="G110" s="66" t="s">
        <v>434</v>
      </c>
      <c r="H110" s="67" t="s">
        <v>435</v>
      </c>
      <c r="I110" s="68">
        <v>3929</v>
      </c>
      <c r="J110" s="66">
        <v>1234</v>
      </c>
      <c r="K110" s="66">
        <v>151</v>
      </c>
      <c r="L110" s="66" t="str">
        <f>IF(0.915*562.56=0," ",TEXT(,ROUND((0.915*562.56*4.94),0)))</f>
        <v>2543</v>
      </c>
      <c r="M110" s="66" t="s">
        <v>436</v>
      </c>
      <c r="N110" s="66" t="s">
        <v>437</v>
      </c>
      <c r="O110" s="69"/>
      <c r="P110" s="69"/>
      <c r="Q110" s="69"/>
      <c r="R110" s="69"/>
      <c r="S110" s="69"/>
      <c r="T110" s="70"/>
      <c r="U110" s="70"/>
      <c r="V110" s="70"/>
      <c r="W110" s="70"/>
      <c r="X110" s="70"/>
      <c r="Y110" s="70"/>
      <c r="Z110" s="70"/>
      <c r="AA110" s="70" t="s">
        <v>185</v>
      </c>
      <c r="AB110" s="70" t="s">
        <v>39</v>
      </c>
      <c r="AC110" s="70">
        <v>851</v>
      </c>
      <c r="AD110" s="70">
        <v>592</v>
      </c>
      <c r="AE110" s="79" t="s">
        <v>438</v>
      </c>
      <c r="AF110" s="70" t="s">
        <v>439</v>
      </c>
      <c r="AG110" s="70" t="s">
        <v>203</v>
      </c>
      <c r="AH110" s="70"/>
      <c r="AI110" s="70">
        <f>1234+0</f>
        <v>1234</v>
      </c>
    </row>
    <row r="111" spans="1:35" ht="18.45" customHeight="1" x14ac:dyDescent="0.25">
      <c r="A111" s="88" t="s">
        <v>440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</row>
    <row r="112" spans="1:35" ht="205.2" x14ac:dyDescent="0.25">
      <c r="A112" s="62">
        <v>75</v>
      </c>
      <c r="B112" s="63" t="s">
        <v>441</v>
      </c>
      <c r="C112" s="64" t="str">
        <f t="shared" ref="C112:C123" ca="1" si="5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Улучшенная штукатурка фасадов цементно-известковым раствором по камню: стен
---------------------------------------------------------------------
100 м2 оштукатуриваемой поверхности
---------------------------------------------------------------------КОЭФ. К ПОЗИЦИИ:
добавить до толщины намета 20 мм (20/17=1,18) ПЗ=1,18 (ОЗП=1,18; ЭМ=1,18 к расх.; ЗПМ=1,18; МАТ=1,18 к расх.; ТЗ=1,18; ТЗМ=1,18);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---------------------------------------------------------------------30730 руб. НР 80%=105%*(0.9*0.85) от ФОТ (38413 руб.)
14213 руб. СП 37%=55%*(0.85*0.8) от ФОТ (38413 руб.)
</v>
      </c>
      <c r="D112" s="65">
        <v>2.3639999999999999</v>
      </c>
      <c r="E112" s="66" t="s">
        <v>442</v>
      </c>
      <c r="F112" s="66" t="s">
        <v>443</v>
      </c>
      <c r="G112" s="66" t="s">
        <v>444</v>
      </c>
      <c r="H112" s="67" t="s">
        <v>445</v>
      </c>
      <c r="I112" s="68">
        <v>53995</v>
      </c>
      <c r="J112" s="66">
        <v>36960</v>
      </c>
      <c r="K112" s="66" t="s">
        <v>446</v>
      </c>
      <c r="L112" s="66" t="str">
        <f>IF(2.364*1156.05=0," ",TEXT(,ROUND((2.364*1156.05*5.71),0)))</f>
        <v>15605</v>
      </c>
      <c r="M112" s="66" t="s">
        <v>447</v>
      </c>
      <c r="N112" s="66" t="s">
        <v>448</v>
      </c>
      <c r="O112" s="69"/>
      <c r="P112" s="69"/>
      <c r="Q112" s="69"/>
      <c r="R112" s="69"/>
      <c r="S112" s="69"/>
      <c r="T112" s="70"/>
      <c r="U112" s="70"/>
      <c r="V112" s="70"/>
      <c r="W112" s="70"/>
      <c r="X112" s="70"/>
      <c r="Y112" s="70"/>
      <c r="Z112" s="70"/>
      <c r="AA112" s="70" t="s">
        <v>449</v>
      </c>
      <c r="AB112" s="70" t="s">
        <v>450</v>
      </c>
      <c r="AC112" s="70">
        <v>30730</v>
      </c>
      <c r="AD112" s="70">
        <v>14213</v>
      </c>
      <c r="AE112" s="79" t="s">
        <v>451</v>
      </c>
      <c r="AF112" s="70" t="s">
        <v>452</v>
      </c>
      <c r="AG112" s="70" t="s">
        <v>453</v>
      </c>
      <c r="AH112" s="70"/>
      <c r="AI112" s="70">
        <f>36960+1453</f>
        <v>38413</v>
      </c>
    </row>
    <row r="113" spans="1:35" ht="136.80000000000001" x14ac:dyDescent="0.25">
      <c r="A113" s="62">
        <v>76</v>
      </c>
      <c r="B113" s="63" t="s">
        <v>302</v>
      </c>
      <c r="C113" s="64" t="str">
        <f t="shared" ca="1" si="5"/>
        <v xml:space="preserve">Устройство покрытия из рулонных материалов: насухо без промазки кромок
---------------------------------------------------------------------
100 м2 кровли
---------------------------------------------------------------------КОЭФ. К ПОЗИЦИИ:
11.2 Ремонт сложных кровель ОЗП=1,25; ЭМ=1,25; ЗПМ=1,25; ТЗ=1,25; ТЗМ=1,25
---------------------------------------------------------------------1284 руб. НР 71%=83%*0.85 от ФОТ (1808 руб.)
940 руб. СП 52%=65%*0.8 от ФОТ (1808 руб.)
</v>
      </c>
      <c r="D113" s="65">
        <v>2.3639999999999999</v>
      </c>
      <c r="E113" s="66" t="s">
        <v>303</v>
      </c>
      <c r="F113" s="66">
        <v>6.54</v>
      </c>
      <c r="G113" s="66" t="s">
        <v>304</v>
      </c>
      <c r="H113" s="67" t="s">
        <v>305</v>
      </c>
      <c r="I113" s="68">
        <v>12451</v>
      </c>
      <c r="J113" s="66">
        <v>1808</v>
      </c>
      <c r="K113" s="66">
        <v>177</v>
      </c>
      <c r="L113" s="66" t="str">
        <f>IF(2.364*883.33=0," ",TEXT(,ROUND((2.364*883.33*5.01),0)))</f>
        <v>10462</v>
      </c>
      <c r="M113" s="66">
        <v>5.65</v>
      </c>
      <c r="N113" s="66">
        <v>13.36</v>
      </c>
      <c r="O113" s="69"/>
      <c r="P113" s="69"/>
      <c r="Q113" s="69"/>
      <c r="R113" s="69"/>
      <c r="S113" s="69"/>
      <c r="T113" s="70"/>
      <c r="U113" s="70"/>
      <c r="V113" s="70"/>
      <c r="W113" s="70"/>
      <c r="X113" s="70"/>
      <c r="Y113" s="70"/>
      <c r="Z113" s="70"/>
      <c r="AA113" s="70" t="s">
        <v>45</v>
      </c>
      <c r="AB113" s="70" t="s">
        <v>46</v>
      </c>
      <c r="AC113" s="70">
        <v>1284</v>
      </c>
      <c r="AD113" s="70">
        <v>940</v>
      </c>
      <c r="AE113" s="79" t="s">
        <v>237</v>
      </c>
      <c r="AF113" s="70" t="s">
        <v>306</v>
      </c>
      <c r="AG113" s="70" t="s">
        <v>67</v>
      </c>
      <c r="AH113" s="70"/>
      <c r="AI113" s="70">
        <f>1808+0</f>
        <v>1808</v>
      </c>
    </row>
    <row r="114" spans="1:35" ht="102.6" x14ac:dyDescent="0.25">
      <c r="A114" s="62">
        <v>77</v>
      </c>
      <c r="B114" s="63" t="s">
        <v>307</v>
      </c>
      <c r="C114" s="64" t="str">
        <f t="shared" ca="1" si="5"/>
        <v xml:space="preserve">Рубероид кровельный с крупнозернистой посыпкой марки РКК-350б
---------------------------------------------------------------------
м2
---------------------------------------------------------------------КОЭФ. К ПОЗИЦИИ:
11.2 Ремонт сложных кровель ОЗП=1,25; ЭМ=1,25; ЗПМ=1,25; ТЗ=1,25; ТЗМ=1,25
</v>
      </c>
      <c r="D114" s="65">
        <v>-271.89999999999998</v>
      </c>
      <c r="E114" s="66">
        <v>7.46</v>
      </c>
      <c r="F114" s="66"/>
      <c r="G114" s="66" t="s">
        <v>308</v>
      </c>
      <c r="H114" s="67" t="s">
        <v>309</v>
      </c>
      <c r="I114" s="68">
        <v>-10148</v>
      </c>
      <c r="J114" s="66"/>
      <c r="K114" s="66"/>
      <c r="L114" s="66" t="str">
        <f>IF(-271.9*7.46=0," ",TEXT(,ROUND((-271.9*7.46*5.004),0)))</f>
        <v>-10150</v>
      </c>
      <c r="M114" s="66"/>
      <c r="N114" s="66"/>
      <c r="O114" s="69"/>
      <c r="P114" s="69"/>
      <c r="Q114" s="69"/>
      <c r="R114" s="69"/>
      <c r="S114" s="69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9" t="s">
        <v>237</v>
      </c>
      <c r="AF114" s="70" t="s">
        <v>310</v>
      </c>
      <c r="AG114" s="70" t="s">
        <v>296</v>
      </c>
      <c r="AH114" s="70"/>
      <c r="AI114" s="70">
        <f>0+0</f>
        <v>0</v>
      </c>
    </row>
    <row r="115" spans="1:35" ht="57" x14ac:dyDescent="0.25">
      <c r="A115" s="62">
        <v>78</v>
      </c>
      <c r="B115" s="63" t="s">
        <v>454</v>
      </c>
      <c r="C115" s="64" t="str">
        <f t="shared" ca="1" si="5"/>
        <v xml:space="preserve">Изоспан: Двухслойная паропроницаемая мембрана марки В 14,62/5,56=2,63
---------------------------------------------------------------------
м2
</v>
      </c>
      <c r="D115" s="65">
        <v>271.89999999999998</v>
      </c>
      <c r="E115" s="66">
        <v>2.63</v>
      </c>
      <c r="F115" s="66"/>
      <c r="G115" s="66" t="s">
        <v>455</v>
      </c>
      <c r="H115" s="67" t="s">
        <v>154</v>
      </c>
      <c r="I115" s="68">
        <v>3975</v>
      </c>
      <c r="J115" s="66"/>
      <c r="K115" s="66"/>
      <c r="L115" s="66" t="str">
        <f>IF(271.9*2.63=0," ",TEXT(,ROUND((271.9*2.63*5.56),0)))</f>
        <v>3976</v>
      </c>
      <c r="M115" s="66"/>
      <c r="N115" s="66"/>
      <c r="O115" s="69"/>
      <c r="P115" s="69"/>
      <c r="Q115" s="69"/>
      <c r="R115" s="69"/>
      <c r="S115" s="69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 t="s">
        <v>456</v>
      </c>
      <c r="AG115" s="70" t="s">
        <v>296</v>
      </c>
      <c r="AH115" s="70"/>
      <c r="AI115" s="70">
        <f>0+0</f>
        <v>0</v>
      </c>
    </row>
    <row r="116" spans="1:35" ht="171" x14ac:dyDescent="0.25">
      <c r="A116" s="62">
        <v>79</v>
      </c>
      <c r="B116" s="63" t="s">
        <v>457</v>
      </c>
      <c r="C116" s="64" t="str">
        <f t="shared" ca="1" si="5"/>
        <v xml:space="preserve">Изоляция изделиями из волокнистых и зернистых материалов с креплением на клее и дюбелями холодных поверхностей: наружных стен
---------------------------------------------------------------------
100 м2 поверхности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---------------------------------------------------------------------4698 руб. НР 77%=100%*(0.9*0.85) от ФОТ (6101 руб.)
2928 руб. СП 48%=70%*(0.85*0.8) от ФОТ (6101 руб.)
</v>
      </c>
      <c r="D116" s="65">
        <v>2.3639999999999999</v>
      </c>
      <c r="E116" s="66" t="s">
        <v>458</v>
      </c>
      <c r="F116" s="66" t="s">
        <v>459</v>
      </c>
      <c r="G116" s="66" t="s">
        <v>460</v>
      </c>
      <c r="H116" s="67" t="s">
        <v>461</v>
      </c>
      <c r="I116" s="68">
        <v>6699</v>
      </c>
      <c r="J116" s="66">
        <v>6084</v>
      </c>
      <c r="K116" s="66" t="s">
        <v>462</v>
      </c>
      <c r="L116" s="66" t="str">
        <f>IF(2.364*105.45=0," ",TEXT(,ROUND((2.364*105.45*1.39),0)))</f>
        <v>347</v>
      </c>
      <c r="M116" s="66" t="s">
        <v>463</v>
      </c>
      <c r="N116" s="66" t="s">
        <v>464</v>
      </c>
      <c r="O116" s="69"/>
      <c r="P116" s="69"/>
      <c r="Q116" s="69"/>
      <c r="R116" s="69"/>
      <c r="S116" s="69"/>
      <c r="T116" s="70"/>
      <c r="U116" s="70"/>
      <c r="V116" s="70"/>
      <c r="W116" s="70"/>
      <c r="X116" s="70"/>
      <c r="Y116" s="70"/>
      <c r="Z116" s="70"/>
      <c r="AA116" s="70" t="s">
        <v>208</v>
      </c>
      <c r="AB116" s="70" t="s">
        <v>39</v>
      </c>
      <c r="AC116" s="70">
        <v>4698</v>
      </c>
      <c r="AD116" s="70">
        <v>2928</v>
      </c>
      <c r="AE116" s="79" t="s">
        <v>167</v>
      </c>
      <c r="AF116" s="70" t="s">
        <v>465</v>
      </c>
      <c r="AG116" s="70" t="s">
        <v>466</v>
      </c>
      <c r="AH116" s="70"/>
      <c r="AI116" s="70">
        <f>6084+17</f>
        <v>6101</v>
      </c>
    </row>
    <row r="117" spans="1:35" ht="68.400000000000006" x14ac:dyDescent="0.25">
      <c r="A117" s="62">
        <v>80</v>
      </c>
      <c r="B117" s="63" t="s">
        <v>467</v>
      </c>
      <c r="C117" s="64" t="str">
        <f t="shared" ca="1" si="5"/>
        <v xml:space="preserve">Плиты теплоизоляционные негидрофобизированные базальтовые: ПТЭ-125, размером 2000х1000х50 4146,89/5,56=745,84
---------------------------------------------------------------------
м3
</v>
      </c>
      <c r="D117" s="65" t="s">
        <v>468</v>
      </c>
      <c r="E117" s="66">
        <v>745.84</v>
      </c>
      <c r="F117" s="66"/>
      <c r="G117" s="66" t="s">
        <v>469</v>
      </c>
      <c r="H117" s="67" t="s">
        <v>154</v>
      </c>
      <c r="I117" s="68">
        <v>49017</v>
      </c>
      <c r="J117" s="66"/>
      <c r="K117" s="66"/>
      <c r="L117" s="66" t="str">
        <f>IF(11.82*745.84=0," ",TEXT(,ROUND((11.82*745.84*5.56),0)))</f>
        <v>49016</v>
      </c>
      <c r="M117" s="66"/>
      <c r="N117" s="66"/>
      <c r="O117" s="69"/>
      <c r="P117" s="69"/>
      <c r="Q117" s="69"/>
      <c r="R117" s="69"/>
      <c r="S117" s="69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 t="s">
        <v>470</v>
      </c>
      <c r="AG117" s="70" t="s">
        <v>257</v>
      </c>
      <c r="AH117" s="70"/>
      <c r="AI117" s="70">
        <f>0+0</f>
        <v>0</v>
      </c>
    </row>
    <row r="118" spans="1:35" ht="136.80000000000001" x14ac:dyDescent="0.25">
      <c r="A118" s="62">
        <v>81</v>
      </c>
      <c r="B118" s="63" t="s">
        <v>302</v>
      </c>
      <c r="C118" s="64" t="str">
        <f t="shared" ca="1" si="5"/>
        <v xml:space="preserve">Устройство покрытия из рулонных материалов: насухо без промазки кромок
---------------------------------------------------------------------
100 м2 кровли
---------------------------------------------------------------------КОЭФ. К ПОЗИЦИИ:
11.2 Ремонт сложных кровель ОЗП=1,25; ЭМ=1,25; ЗПМ=1,25; ТЗ=1,25; ТЗМ=1,25
---------------------------------------------------------------------1284 руб. НР 71%=83%*0.85 от ФОТ (1808 руб.)
940 руб. СП 52%=65%*0.8 от ФОТ (1808 руб.)
</v>
      </c>
      <c r="D118" s="65">
        <v>2.3639999999999999</v>
      </c>
      <c r="E118" s="66" t="s">
        <v>303</v>
      </c>
      <c r="F118" s="66">
        <v>6.54</v>
      </c>
      <c r="G118" s="66" t="s">
        <v>304</v>
      </c>
      <c r="H118" s="67" t="s">
        <v>305</v>
      </c>
      <c r="I118" s="68">
        <v>12451</v>
      </c>
      <c r="J118" s="66">
        <v>1808</v>
      </c>
      <c r="K118" s="66">
        <v>177</v>
      </c>
      <c r="L118" s="66" t="str">
        <f>IF(2.364*883.33=0," ",TEXT(,ROUND((2.364*883.33*5.01),0)))</f>
        <v>10462</v>
      </c>
      <c r="M118" s="66">
        <v>5.65</v>
      </c>
      <c r="N118" s="66">
        <v>13.36</v>
      </c>
      <c r="O118" s="69"/>
      <c r="P118" s="69"/>
      <c r="Q118" s="69"/>
      <c r="R118" s="69"/>
      <c r="S118" s="69"/>
      <c r="T118" s="70"/>
      <c r="U118" s="70"/>
      <c r="V118" s="70"/>
      <c r="W118" s="70"/>
      <c r="X118" s="70"/>
      <c r="Y118" s="70"/>
      <c r="Z118" s="70"/>
      <c r="AA118" s="70" t="s">
        <v>45</v>
      </c>
      <c r="AB118" s="70" t="s">
        <v>46</v>
      </c>
      <c r="AC118" s="70">
        <v>1284</v>
      </c>
      <c r="AD118" s="70">
        <v>940</v>
      </c>
      <c r="AE118" s="79" t="s">
        <v>237</v>
      </c>
      <c r="AF118" s="70" t="s">
        <v>306</v>
      </c>
      <c r="AG118" s="70" t="s">
        <v>67</v>
      </c>
      <c r="AH118" s="70"/>
      <c r="AI118" s="70">
        <f>1808+0</f>
        <v>1808</v>
      </c>
    </row>
    <row r="119" spans="1:35" ht="102.6" x14ac:dyDescent="0.25">
      <c r="A119" s="62">
        <v>82</v>
      </c>
      <c r="B119" s="63" t="s">
        <v>307</v>
      </c>
      <c r="C119" s="64" t="str">
        <f t="shared" ca="1" si="5"/>
        <v xml:space="preserve">Рубероид кровельный с крупнозернистой посыпкой марки РКК-350б
---------------------------------------------------------------------
м2
---------------------------------------------------------------------КОЭФ. К ПОЗИЦИИ:
11.2 Ремонт сложных кровель ОЗП=1,25; ЭМ=1,25; ЗПМ=1,25; ТЗ=1,25; ТЗМ=1,25
</v>
      </c>
      <c r="D119" s="65">
        <v>-271.89999999999998</v>
      </c>
      <c r="E119" s="66">
        <v>7.46</v>
      </c>
      <c r="F119" s="66"/>
      <c r="G119" s="66" t="s">
        <v>308</v>
      </c>
      <c r="H119" s="67" t="s">
        <v>309</v>
      </c>
      <c r="I119" s="68">
        <v>-10148</v>
      </c>
      <c r="J119" s="66"/>
      <c r="K119" s="66"/>
      <c r="L119" s="66" t="str">
        <f>IF(-271.9*7.46=0," ",TEXT(,ROUND((-271.9*7.46*5.004),0)))</f>
        <v>-10150</v>
      </c>
      <c r="M119" s="66"/>
      <c r="N119" s="66"/>
      <c r="O119" s="69"/>
      <c r="P119" s="69"/>
      <c r="Q119" s="69"/>
      <c r="R119" s="69"/>
      <c r="S119" s="69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9" t="s">
        <v>237</v>
      </c>
      <c r="AF119" s="70" t="s">
        <v>310</v>
      </c>
      <c r="AG119" s="70" t="s">
        <v>296</v>
      </c>
      <c r="AH119" s="70"/>
      <c r="AI119" s="70">
        <f>0+0</f>
        <v>0</v>
      </c>
    </row>
    <row r="120" spans="1:35" ht="57" x14ac:dyDescent="0.25">
      <c r="A120" s="62">
        <v>83</v>
      </c>
      <c r="B120" s="63" t="s">
        <v>311</v>
      </c>
      <c r="C120" s="64" t="str">
        <f t="shared" ca="1" si="5"/>
        <v xml:space="preserve">Изоспан: Защитный материал марки Д 19,47/5,56=3,50
---------------------------------------------------------------------
м2
</v>
      </c>
      <c r="D120" s="65">
        <v>271.89999999999998</v>
      </c>
      <c r="E120" s="66">
        <v>3.5</v>
      </c>
      <c r="F120" s="66"/>
      <c r="G120" s="66" t="s">
        <v>312</v>
      </c>
      <c r="H120" s="67" t="s">
        <v>154</v>
      </c>
      <c r="I120" s="68">
        <v>5293</v>
      </c>
      <c r="J120" s="66"/>
      <c r="K120" s="66"/>
      <c r="L120" s="66" t="str">
        <f>IF(271.9*3.5=0," ",TEXT(,ROUND((271.9*3.5*5.56),0)))</f>
        <v>5291</v>
      </c>
      <c r="M120" s="66"/>
      <c r="N120" s="66"/>
      <c r="O120" s="69"/>
      <c r="P120" s="69"/>
      <c r="Q120" s="69"/>
      <c r="R120" s="69"/>
      <c r="S120" s="69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 t="s">
        <v>313</v>
      </c>
      <c r="AG120" s="70" t="s">
        <v>296</v>
      </c>
      <c r="AH120" s="70"/>
      <c r="AI120" s="70">
        <f>0+0</f>
        <v>0</v>
      </c>
    </row>
    <row r="121" spans="1:35" ht="182.4" x14ac:dyDescent="0.25">
      <c r="A121" s="62">
        <v>84</v>
      </c>
      <c r="B121" s="63" t="s">
        <v>471</v>
      </c>
      <c r="C121" s="64" t="str">
        <f t="shared" ca="1" si="5"/>
        <v xml:space="preserve">Покрытие изоляции плоских (криволинейных) поверхностей листовым металлом с заготовкой покрытия
---------------------------------------------------------------------
100 м2 поверхности покрытия изоляции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---------------------------------------------------------------------44778 руб. НР 77%=100%*(0.9*0.85) от ФОТ (58153 руб.)
27913 руб. СП 48%=70%*(0.85*0.8) от ФОТ (58153 руб.)
</v>
      </c>
      <c r="D121" s="65">
        <v>2.3639999999999999</v>
      </c>
      <c r="E121" s="66" t="s">
        <v>472</v>
      </c>
      <c r="F121" s="66">
        <v>723.05</v>
      </c>
      <c r="G121" s="66" t="s">
        <v>473</v>
      </c>
      <c r="H121" s="67" t="s">
        <v>474</v>
      </c>
      <c r="I121" s="68">
        <v>147975</v>
      </c>
      <c r="J121" s="66">
        <v>58153</v>
      </c>
      <c r="K121" s="66">
        <v>13928</v>
      </c>
      <c r="L121" s="66" t="str">
        <f>IF(2.364*8515.41=0," ",TEXT(,ROUND((2.364*8515.41*3.77),0)))</f>
        <v>75892</v>
      </c>
      <c r="M121" s="66">
        <v>160.47999999999999</v>
      </c>
      <c r="N121" s="66">
        <v>379.37</v>
      </c>
      <c r="O121" s="69"/>
      <c r="P121" s="69"/>
      <c r="Q121" s="69"/>
      <c r="R121" s="69"/>
      <c r="S121" s="69"/>
      <c r="T121" s="70"/>
      <c r="U121" s="70"/>
      <c r="V121" s="70"/>
      <c r="W121" s="70"/>
      <c r="X121" s="70"/>
      <c r="Y121" s="70"/>
      <c r="Z121" s="70"/>
      <c r="AA121" s="70" t="s">
        <v>208</v>
      </c>
      <c r="AB121" s="70" t="s">
        <v>39</v>
      </c>
      <c r="AC121" s="70">
        <v>44778</v>
      </c>
      <c r="AD121" s="70">
        <v>27913</v>
      </c>
      <c r="AE121" s="79" t="s">
        <v>167</v>
      </c>
      <c r="AF121" s="70" t="s">
        <v>475</v>
      </c>
      <c r="AG121" s="70" t="s">
        <v>476</v>
      </c>
      <c r="AH121" s="70"/>
      <c r="AI121" s="70">
        <f>58153+0</f>
        <v>58153</v>
      </c>
    </row>
    <row r="122" spans="1:35" ht="57" x14ac:dyDescent="0.25">
      <c r="A122" s="62">
        <v>85</v>
      </c>
      <c r="B122" s="63" t="s">
        <v>477</v>
      </c>
      <c r="C122" s="64" t="str">
        <f t="shared" ca="1" si="5"/>
        <v xml:space="preserve">Сталь листовая оцинкованная толщиной листа 0,8 мм
---------------------------------------------------------------------
т
</v>
      </c>
      <c r="D122" s="65">
        <v>-1.8180000000000001</v>
      </c>
      <c r="E122" s="66">
        <v>11000</v>
      </c>
      <c r="F122" s="66"/>
      <c r="G122" s="66" t="s">
        <v>478</v>
      </c>
      <c r="H122" s="67" t="s">
        <v>479</v>
      </c>
      <c r="I122" s="68">
        <v>-75512</v>
      </c>
      <c r="J122" s="66"/>
      <c r="K122" s="66"/>
      <c r="L122" s="66" t="str">
        <f>IF(-1.818*11000=0," ",TEXT(,ROUND((-1.818*11000*3.776),0)))</f>
        <v>-75512</v>
      </c>
      <c r="M122" s="66"/>
      <c r="N122" s="66"/>
      <c r="O122" s="69"/>
      <c r="P122" s="69"/>
      <c r="Q122" s="69"/>
      <c r="R122" s="69"/>
      <c r="S122" s="69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 t="s">
        <v>480</v>
      </c>
      <c r="AG122" s="70" t="s">
        <v>194</v>
      </c>
      <c r="AH122" s="70"/>
      <c r="AI122" s="70">
        <f>0+0</f>
        <v>0</v>
      </c>
    </row>
    <row r="123" spans="1:35" ht="57" x14ac:dyDescent="0.25">
      <c r="A123" s="62">
        <v>86</v>
      </c>
      <c r="B123" s="63" t="s">
        <v>152</v>
      </c>
      <c r="C123" s="64" t="str">
        <f t="shared" ca="1" si="5"/>
        <v xml:space="preserve">Лист плоский с полимерным покрытием толщиной 0,55 мм 372/1,18/5,56=56,7
---------------------------------------------------------------------
м2
</v>
      </c>
      <c r="D123" s="65" t="s">
        <v>481</v>
      </c>
      <c r="E123" s="66">
        <v>56.7</v>
      </c>
      <c r="F123" s="66"/>
      <c r="G123" s="66" t="s">
        <v>294</v>
      </c>
      <c r="H123" s="67" t="s">
        <v>154</v>
      </c>
      <c r="I123" s="68">
        <v>88448</v>
      </c>
      <c r="J123" s="66"/>
      <c r="K123" s="66"/>
      <c r="L123" s="66" t="str">
        <f>IF(280.555556*56.7=0," ",TEXT(,ROUND((280.555556*56.7*5.56),0)))</f>
        <v>88446</v>
      </c>
      <c r="M123" s="66"/>
      <c r="N123" s="66"/>
      <c r="O123" s="69"/>
      <c r="P123" s="69"/>
      <c r="Q123" s="69"/>
      <c r="R123" s="69"/>
      <c r="S123" s="69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 t="s">
        <v>295</v>
      </c>
      <c r="AG123" s="70" t="s">
        <v>296</v>
      </c>
      <c r="AH123" s="70"/>
      <c r="AI123" s="70">
        <f>0+0</f>
        <v>0</v>
      </c>
    </row>
    <row r="124" spans="1:35" ht="18.45" customHeight="1" x14ac:dyDescent="0.25">
      <c r="A124" s="88" t="s">
        <v>482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</row>
    <row r="125" spans="1:35" ht="159.6" x14ac:dyDescent="0.25">
      <c r="A125" s="62">
        <v>87</v>
      </c>
      <c r="B125" s="63" t="s">
        <v>483</v>
      </c>
      <c r="C125" s="64" t="str">
        <f t="shared" ref="C125:C130" ca="1" si="6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Прокладка по стенам зданий и в каналах трубопроводов из чугунных канализационных труб диаметром: 50 мм
---------------------------------------------------------------------
100 м трубопровода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---------------------------------------------------------------------2584 руб. НР 98%=128%*(0.9*0.85) от ФОТ (2637 руб.)
1477 руб. СП 56%=83%*(0.85*0.8) от ФОТ (2637 руб.)
</v>
      </c>
      <c r="D125" s="65">
        <v>0.18</v>
      </c>
      <c r="E125" s="66" t="s">
        <v>484</v>
      </c>
      <c r="F125" s="66" t="s">
        <v>485</v>
      </c>
      <c r="G125" s="66" t="s">
        <v>486</v>
      </c>
      <c r="H125" s="67" t="s">
        <v>487</v>
      </c>
      <c r="I125" s="68">
        <v>11230</v>
      </c>
      <c r="J125" s="66">
        <v>2620</v>
      </c>
      <c r="K125" s="66" t="s">
        <v>488</v>
      </c>
      <c r="L125" s="66" t="str">
        <f>IF(0.18*8345.42=0," ",TEXT(,ROUND((0.18*8345.42*5.59),0)))</f>
        <v>8397</v>
      </c>
      <c r="M125" s="66" t="s">
        <v>489</v>
      </c>
      <c r="N125" s="66" t="s">
        <v>490</v>
      </c>
      <c r="O125" s="69"/>
      <c r="P125" s="69"/>
      <c r="Q125" s="69"/>
      <c r="R125" s="69"/>
      <c r="S125" s="69"/>
      <c r="T125" s="70"/>
      <c r="U125" s="70"/>
      <c r="V125" s="70"/>
      <c r="W125" s="70"/>
      <c r="X125" s="70"/>
      <c r="Y125" s="70"/>
      <c r="Z125" s="70"/>
      <c r="AA125" s="70" t="s">
        <v>491</v>
      </c>
      <c r="AB125" s="70" t="s">
        <v>492</v>
      </c>
      <c r="AC125" s="70">
        <v>2584</v>
      </c>
      <c r="AD125" s="70">
        <v>1477</v>
      </c>
      <c r="AE125" s="79" t="s">
        <v>167</v>
      </c>
      <c r="AF125" s="70" t="s">
        <v>493</v>
      </c>
      <c r="AG125" s="70" t="s">
        <v>494</v>
      </c>
      <c r="AH125" s="70"/>
      <c r="AI125" s="70">
        <f>2620+17</f>
        <v>2637</v>
      </c>
    </row>
    <row r="126" spans="1:35" ht="171" x14ac:dyDescent="0.25">
      <c r="A126" s="62">
        <v>88</v>
      </c>
      <c r="B126" s="63" t="s">
        <v>495</v>
      </c>
      <c r="C126" s="64" t="str">
        <f t="shared" ca="1" si="6"/>
        <v xml:space="preserve">Изоляция трубопроводов цилиндрами, полуцилиндрами и сегментами из пенопласта, диаметр трубопровода: до 350 мм
---------------------------------------------------------------------
1 м3 изоляции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---------------------------------------------------------------------2616 руб. НР 77%=100%*(0.9*0.85) от ФОТ (3397 руб.)
1631 руб. СП 48%=70%*(0.85*0.8) от ФОТ (3397 руб.)
</v>
      </c>
      <c r="D126" s="65">
        <v>0.87539999999999996</v>
      </c>
      <c r="E126" s="66" t="s">
        <v>496</v>
      </c>
      <c r="F126" s="66">
        <v>49.26</v>
      </c>
      <c r="G126" s="66" t="s">
        <v>497</v>
      </c>
      <c r="H126" s="67" t="s">
        <v>498</v>
      </c>
      <c r="I126" s="68">
        <v>11414</v>
      </c>
      <c r="J126" s="66">
        <v>3397</v>
      </c>
      <c r="K126" s="66">
        <v>501</v>
      </c>
      <c r="L126" s="66" t="str">
        <f>IF(0.8754*1963.86=0," ",TEXT(,ROUND((0.8754*1963.86*4.37),0)))</f>
        <v>7513</v>
      </c>
      <c r="M126" s="66">
        <v>25.65</v>
      </c>
      <c r="N126" s="66">
        <v>22.45</v>
      </c>
      <c r="O126" s="69"/>
      <c r="P126" s="69"/>
      <c r="Q126" s="69"/>
      <c r="R126" s="69"/>
      <c r="S126" s="69"/>
      <c r="T126" s="70"/>
      <c r="U126" s="70"/>
      <c r="V126" s="70"/>
      <c r="W126" s="70"/>
      <c r="X126" s="70"/>
      <c r="Y126" s="70"/>
      <c r="Z126" s="70"/>
      <c r="AA126" s="70" t="s">
        <v>208</v>
      </c>
      <c r="AB126" s="70" t="s">
        <v>39</v>
      </c>
      <c r="AC126" s="70">
        <v>2616</v>
      </c>
      <c r="AD126" s="70">
        <v>1631</v>
      </c>
      <c r="AE126" s="79" t="s">
        <v>167</v>
      </c>
      <c r="AF126" s="70" t="s">
        <v>499</v>
      </c>
      <c r="AG126" s="70" t="s">
        <v>500</v>
      </c>
      <c r="AH126" s="70"/>
      <c r="AI126" s="70">
        <f>3397+0</f>
        <v>3397</v>
      </c>
    </row>
    <row r="127" spans="1:35" ht="66" x14ac:dyDescent="0.25">
      <c r="A127" s="62">
        <v>89</v>
      </c>
      <c r="B127" s="63" t="s">
        <v>501</v>
      </c>
      <c r="C127" s="64" t="str">
        <f t="shared" ca="1" si="6"/>
        <v xml:space="preserve">Блоки сегментные теплоизоляционные из пенопласта полистирольного ПСБС-40
---------------------------------------------------------------------
м3
</v>
      </c>
      <c r="D127" s="65">
        <v>-1.05</v>
      </c>
      <c r="E127" s="66">
        <v>1280.3</v>
      </c>
      <c r="F127" s="66"/>
      <c r="G127" s="66" t="s">
        <v>502</v>
      </c>
      <c r="H127" s="67" t="s">
        <v>503</v>
      </c>
      <c r="I127" s="68">
        <v>-4246</v>
      </c>
      <c r="J127" s="66"/>
      <c r="K127" s="66"/>
      <c r="L127" s="66" t="str">
        <f>IF(-1.05*1280.3=0," ",TEXT(,ROUND((-1.05*1280.3*3.159),0)))</f>
        <v>-4247</v>
      </c>
      <c r="M127" s="66"/>
      <c r="N127" s="66"/>
      <c r="O127" s="69"/>
      <c r="P127" s="69"/>
      <c r="Q127" s="69"/>
      <c r="R127" s="69"/>
      <c r="S127" s="69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 t="s">
        <v>504</v>
      </c>
      <c r="AG127" s="70" t="s">
        <v>257</v>
      </c>
      <c r="AH127" s="70"/>
      <c r="AI127" s="70">
        <f>0+0</f>
        <v>0</v>
      </c>
    </row>
    <row r="128" spans="1:35" ht="66" x14ac:dyDescent="0.25">
      <c r="A128" s="62">
        <v>90</v>
      </c>
      <c r="B128" s="63" t="s">
        <v>505</v>
      </c>
      <c r="C128" s="64" t="str">
        <f t="shared" ca="1" si="6"/>
        <v xml:space="preserve">Скорлупы из пенополиуретана для изоляции стыков труб диаметром: 100 (108) мм
---------------------------------------------------------------------
компл.
</v>
      </c>
      <c r="D128" s="65">
        <v>34</v>
      </c>
      <c r="E128" s="66">
        <v>40.049999999999997</v>
      </c>
      <c r="F128" s="66"/>
      <c r="G128" s="66" t="s">
        <v>506</v>
      </c>
      <c r="H128" s="67" t="s">
        <v>507</v>
      </c>
      <c r="I128" s="68">
        <v>12838</v>
      </c>
      <c r="J128" s="66"/>
      <c r="K128" s="66"/>
      <c r="L128" s="66" t="str">
        <f>IF(34*40.05=0," ",TEXT(,ROUND((34*40.05*9.426),0)))</f>
        <v>12835</v>
      </c>
      <c r="M128" s="66"/>
      <c r="N128" s="66"/>
      <c r="O128" s="69"/>
      <c r="P128" s="69"/>
      <c r="Q128" s="69"/>
      <c r="R128" s="69"/>
      <c r="S128" s="69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 t="s">
        <v>508</v>
      </c>
      <c r="AG128" s="70" t="s">
        <v>375</v>
      </c>
      <c r="AH128" s="70"/>
      <c r="AI128" s="70">
        <f>0+0</f>
        <v>0</v>
      </c>
    </row>
    <row r="129" spans="1:35" ht="159.6" x14ac:dyDescent="0.25">
      <c r="A129" s="62">
        <v>91</v>
      </c>
      <c r="B129" s="63" t="s">
        <v>509</v>
      </c>
      <c r="C129" s="64" t="str">
        <f t="shared" ca="1" si="6"/>
        <v xml:space="preserve">Установка зонтов над шахтами из листовой стали прямоугольного сечения периметром : 4000 мм
---------------------------------------------------------------------
1 зонт
---------------------------------------------------------------------КОЭФ.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---------------------------------------------------------------------10517 руб. НР 98%=128%*(0.9*0.85) от ФОТ (10732 руб.)
6010 руб. СП 56%=83%*(0.85*0.8) от ФОТ (10732 руб.)
</v>
      </c>
      <c r="D129" s="65">
        <v>17</v>
      </c>
      <c r="E129" s="66" t="s">
        <v>510</v>
      </c>
      <c r="F129" s="66" t="s">
        <v>511</v>
      </c>
      <c r="G129" s="66" t="s">
        <v>512</v>
      </c>
      <c r="H129" s="67" t="s">
        <v>513</v>
      </c>
      <c r="I129" s="68">
        <v>12783</v>
      </c>
      <c r="J129" s="66">
        <v>10681</v>
      </c>
      <c r="K129" s="66" t="s">
        <v>514</v>
      </c>
      <c r="L129" s="66" t="str">
        <f>IF(17*8.49=0," ",TEXT(,ROUND((17*8.49*5.89),0)))</f>
        <v>850</v>
      </c>
      <c r="M129" s="66" t="s">
        <v>515</v>
      </c>
      <c r="N129" s="66" t="s">
        <v>516</v>
      </c>
      <c r="O129" s="69"/>
      <c r="P129" s="69"/>
      <c r="Q129" s="69"/>
      <c r="R129" s="69"/>
      <c r="S129" s="69"/>
      <c r="T129" s="70"/>
      <c r="U129" s="70"/>
      <c r="V129" s="70"/>
      <c r="W129" s="70"/>
      <c r="X129" s="70"/>
      <c r="Y129" s="70"/>
      <c r="Z129" s="70"/>
      <c r="AA129" s="70" t="s">
        <v>491</v>
      </c>
      <c r="AB129" s="70" t="s">
        <v>492</v>
      </c>
      <c r="AC129" s="70">
        <v>10517</v>
      </c>
      <c r="AD129" s="70">
        <v>6010</v>
      </c>
      <c r="AE129" s="79" t="s">
        <v>167</v>
      </c>
      <c r="AF129" s="70" t="s">
        <v>517</v>
      </c>
      <c r="AG129" s="70" t="s">
        <v>518</v>
      </c>
      <c r="AH129" s="70"/>
      <c r="AI129" s="70">
        <f>10681+51</f>
        <v>10732</v>
      </c>
    </row>
    <row r="130" spans="1:35" ht="68.400000000000006" x14ac:dyDescent="0.25">
      <c r="A130" s="72">
        <v>92</v>
      </c>
      <c r="B130" s="73" t="s">
        <v>152</v>
      </c>
      <c r="C130" s="74" t="str">
        <f t="shared" ca="1" si="6"/>
        <v xml:space="preserve">Зонты вентиляционных систем из листовой оцинкованной стали с полимерным покрытием : прямоугольные, периметром шахты 4000 мм
---------------------------------------------------------------------
шт
</v>
      </c>
      <c r="D130" s="75">
        <v>17</v>
      </c>
      <c r="E130" s="76">
        <v>571.58000000000004</v>
      </c>
      <c r="F130" s="76"/>
      <c r="G130" s="76" t="s">
        <v>519</v>
      </c>
      <c r="H130" s="77" t="s">
        <v>154</v>
      </c>
      <c r="I130" s="78">
        <v>54027</v>
      </c>
      <c r="J130" s="76"/>
      <c r="K130" s="76"/>
      <c r="L130" s="76" t="str">
        <f>IF(17*571.58=0," ",TEXT(,ROUND((17*571.58*5.56),0)))</f>
        <v>54026</v>
      </c>
      <c r="M130" s="76"/>
      <c r="N130" s="76"/>
      <c r="O130" s="69"/>
      <c r="P130" s="69"/>
      <c r="Q130" s="69"/>
      <c r="R130" s="69"/>
      <c r="S130" s="69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 t="s">
        <v>520</v>
      </c>
      <c r="AG130" s="70" t="s">
        <v>156</v>
      </c>
      <c r="AH130" s="70"/>
      <c r="AI130" s="70">
        <f>0+0</f>
        <v>0</v>
      </c>
    </row>
    <row r="131" spans="1:35" ht="34.200000000000003" x14ac:dyDescent="0.25">
      <c r="A131" s="85" t="s">
        <v>95</v>
      </c>
      <c r="B131" s="84"/>
      <c r="C131" s="84"/>
      <c r="D131" s="84"/>
      <c r="E131" s="84"/>
      <c r="F131" s="84"/>
      <c r="G131" s="84"/>
      <c r="H131" s="84"/>
      <c r="I131" s="68">
        <v>667128</v>
      </c>
      <c r="J131" s="66">
        <v>47468</v>
      </c>
      <c r="K131" s="66" t="s">
        <v>521</v>
      </c>
      <c r="L131" s="66">
        <v>600575</v>
      </c>
      <c r="M131" s="66"/>
      <c r="N131" s="66" t="s">
        <v>522</v>
      </c>
      <c r="O131" s="9"/>
      <c r="P131" s="10"/>
      <c r="Q131" s="9"/>
      <c r="R131" s="9"/>
      <c r="S131" s="9"/>
    </row>
    <row r="132" spans="1:35" ht="34.200000000000003" x14ac:dyDescent="0.25">
      <c r="A132" s="85" t="s">
        <v>98</v>
      </c>
      <c r="B132" s="84"/>
      <c r="C132" s="84"/>
      <c r="D132" s="84"/>
      <c r="E132" s="84"/>
      <c r="F132" s="84"/>
      <c r="G132" s="84"/>
      <c r="H132" s="84"/>
      <c r="I132" s="68">
        <v>3970854</v>
      </c>
      <c r="J132" s="66">
        <v>802211</v>
      </c>
      <c r="K132" s="66" t="s">
        <v>523</v>
      </c>
      <c r="L132" s="66">
        <v>2962192</v>
      </c>
      <c r="M132" s="66"/>
      <c r="N132" s="66" t="s">
        <v>522</v>
      </c>
      <c r="O132" s="9"/>
      <c r="P132" s="10"/>
      <c r="Q132" s="9"/>
      <c r="R132" s="9"/>
      <c r="S132" s="9"/>
    </row>
    <row r="133" spans="1:35" x14ac:dyDescent="0.25">
      <c r="A133" s="85" t="s">
        <v>100</v>
      </c>
      <c r="B133" s="84"/>
      <c r="C133" s="84"/>
      <c r="D133" s="84"/>
      <c r="E133" s="84"/>
      <c r="F133" s="84"/>
      <c r="G133" s="84"/>
      <c r="H133" s="84"/>
      <c r="I133" s="68">
        <v>692142</v>
      </c>
      <c r="J133" s="66"/>
      <c r="K133" s="66"/>
      <c r="L133" s="66"/>
      <c r="M133" s="66"/>
      <c r="N133" s="66"/>
      <c r="O133" s="9"/>
      <c r="P133" s="10"/>
      <c r="Q133" s="9"/>
      <c r="R133" s="9"/>
      <c r="S133" s="9"/>
    </row>
    <row r="134" spans="1:35" x14ac:dyDescent="0.25">
      <c r="A134" s="85" t="s">
        <v>101</v>
      </c>
      <c r="B134" s="84"/>
      <c r="C134" s="84"/>
      <c r="D134" s="84"/>
      <c r="E134" s="84"/>
      <c r="F134" s="84"/>
      <c r="G134" s="84"/>
      <c r="H134" s="84"/>
      <c r="I134" s="68">
        <v>369080</v>
      </c>
      <c r="J134" s="66"/>
      <c r="K134" s="66"/>
      <c r="L134" s="66"/>
      <c r="M134" s="66"/>
      <c r="N134" s="66"/>
      <c r="O134" s="9"/>
      <c r="P134" s="10"/>
      <c r="Q134" s="9"/>
      <c r="R134" s="9"/>
      <c r="S134" s="9"/>
    </row>
    <row r="135" spans="1:35" ht="34.200000000000003" x14ac:dyDescent="0.25">
      <c r="A135" s="86" t="s">
        <v>524</v>
      </c>
      <c r="B135" s="87"/>
      <c r="C135" s="87"/>
      <c r="D135" s="87"/>
      <c r="E135" s="87"/>
      <c r="F135" s="87"/>
      <c r="G135" s="87"/>
      <c r="H135" s="87"/>
      <c r="I135" s="78">
        <v>5032076</v>
      </c>
      <c r="J135" s="76"/>
      <c r="K135" s="76"/>
      <c r="L135" s="76"/>
      <c r="M135" s="76"/>
      <c r="N135" s="76" t="s">
        <v>522</v>
      </c>
      <c r="O135" s="9"/>
      <c r="P135" s="10"/>
      <c r="Q135" s="9"/>
      <c r="R135" s="9"/>
      <c r="S135" s="9"/>
    </row>
    <row r="136" spans="1:35" ht="18.45" customHeight="1" x14ac:dyDescent="0.25">
      <c r="A136" s="90" t="s">
        <v>525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</row>
    <row r="137" spans="1:35" ht="91.2" x14ac:dyDescent="0.25">
      <c r="A137" s="62">
        <v>93</v>
      </c>
      <c r="B137" s="63" t="s">
        <v>526</v>
      </c>
      <c r="C137" s="64" t="str">
        <f t="shared" ref="C137:C144" ca="1" si="7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Разборка покрытий и оснований: асфальтобетонных с помощью молотков отбойных
---------------------------------------------------------------------
100 м3 конструкций
---------------------------------------------------------------------179 руб. НР 88%=104%*0.85 от ФОТ (203 руб.)
97 руб. СП 48%=60%*0.8 от ФОТ (203 руб.)
</v>
      </c>
      <c r="D137" s="65">
        <v>5.0000000000000001E-3</v>
      </c>
      <c r="E137" s="66" t="s">
        <v>527</v>
      </c>
      <c r="F137" s="66" t="s">
        <v>528</v>
      </c>
      <c r="G137" s="66" t="s">
        <v>33</v>
      </c>
      <c r="H137" s="67" t="s">
        <v>529</v>
      </c>
      <c r="I137" s="68">
        <v>348</v>
      </c>
      <c r="J137" s="66">
        <v>169</v>
      </c>
      <c r="K137" s="66" t="s">
        <v>530</v>
      </c>
      <c r="L137" s="66" t="str">
        <f>IF(0.005*0=0," ",TEXT(,ROUND((0.005*0*1),0)))</f>
        <v xml:space="preserve"> </v>
      </c>
      <c r="M137" s="66" t="s">
        <v>531</v>
      </c>
      <c r="N137" s="66" t="s">
        <v>532</v>
      </c>
      <c r="O137" s="69"/>
      <c r="P137" s="69"/>
      <c r="Q137" s="69"/>
      <c r="R137" s="69"/>
      <c r="S137" s="69"/>
      <c r="T137" s="70"/>
      <c r="U137" s="70"/>
      <c r="V137" s="70"/>
      <c r="W137" s="70"/>
      <c r="X137" s="70"/>
      <c r="Y137" s="70"/>
      <c r="Z137" s="70"/>
      <c r="AA137" s="70" t="s">
        <v>533</v>
      </c>
      <c r="AB137" s="70" t="s">
        <v>534</v>
      </c>
      <c r="AC137" s="70">
        <v>179</v>
      </c>
      <c r="AD137" s="70">
        <v>97</v>
      </c>
      <c r="AE137" s="70"/>
      <c r="AF137" s="70" t="s">
        <v>535</v>
      </c>
      <c r="AG137" s="70" t="s">
        <v>536</v>
      </c>
      <c r="AH137" s="70"/>
      <c r="AI137" s="70">
        <f>169+34</f>
        <v>203</v>
      </c>
    </row>
    <row r="138" spans="1:35" ht="91.2" x14ac:dyDescent="0.25">
      <c r="A138" s="62">
        <v>94</v>
      </c>
      <c r="B138" s="63" t="s">
        <v>537</v>
      </c>
      <c r="C138" s="64" t="str">
        <f t="shared" ca="1" si="7"/>
        <v xml:space="preserve">Заземлитель вертикальный из круглой стали диаметром: 16 мм
---------------------------------------------------------------------
10 шт.
---------------------------------------------------------------------657 руб. НР 81%=95%*0.85 от ФОТ (811 руб.)
422 руб. СП 52%=65%*0.8 от ФОТ (811 руб.)
</v>
      </c>
      <c r="D138" s="65">
        <v>0.6</v>
      </c>
      <c r="E138" s="66" t="s">
        <v>538</v>
      </c>
      <c r="F138" s="66" t="s">
        <v>539</v>
      </c>
      <c r="G138" s="66" t="s">
        <v>540</v>
      </c>
      <c r="H138" s="67" t="s">
        <v>541</v>
      </c>
      <c r="I138" s="68">
        <v>1124</v>
      </c>
      <c r="J138" s="66">
        <v>794</v>
      </c>
      <c r="K138" s="66" t="s">
        <v>542</v>
      </c>
      <c r="L138" s="66" t="str">
        <f>IF(0.6*25.46=0," ",TEXT(,ROUND((0.6*25.46*3.6),0)))</f>
        <v>55</v>
      </c>
      <c r="M138" s="66" t="s">
        <v>543</v>
      </c>
      <c r="N138" s="66" t="s">
        <v>544</v>
      </c>
      <c r="O138" s="69"/>
      <c r="P138" s="69"/>
      <c r="Q138" s="69"/>
      <c r="R138" s="69"/>
      <c r="S138" s="69"/>
      <c r="T138" s="70"/>
      <c r="U138" s="70"/>
      <c r="V138" s="70"/>
      <c r="W138" s="70"/>
      <c r="X138" s="70"/>
      <c r="Y138" s="70"/>
      <c r="Z138" s="70"/>
      <c r="AA138" s="70" t="s">
        <v>545</v>
      </c>
      <c r="AB138" s="70" t="s">
        <v>46</v>
      </c>
      <c r="AC138" s="70">
        <v>657</v>
      </c>
      <c r="AD138" s="70">
        <v>422</v>
      </c>
      <c r="AE138" s="70"/>
      <c r="AF138" s="70" t="s">
        <v>546</v>
      </c>
      <c r="AG138" s="70" t="s">
        <v>547</v>
      </c>
      <c r="AH138" s="70"/>
      <c r="AI138" s="70">
        <f>794+17</f>
        <v>811</v>
      </c>
    </row>
    <row r="139" spans="1:35" ht="91.2" x14ac:dyDescent="0.25">
      <c r="A139" s="62">
        <v>95</v>
      </c>
      <c r="B139" s="63" t="s">
        <v>548</v>
      </c>
      <c r="C139" s="64" t="str">
        <f t="shared" ca="1" si="7"/>
        <v xml:space="preserve">Проводник заземляющий открыто по строительным основаниям: из круглой стали диаметром 8 мм
---------------------------------------------------------------------
100 м
---------------------------------------------------------------------1301 руб. НР 81%=95%*0.85 от ФОТ (1606 руб.)
835 руб. СП 52%=65%*0.8 от ФОТ (1606 руб.)
</v>
      </c>
      <c r="D139" s="65">
        <v>0.5</v>
      </c>
      <c r="E139" s="66" t="s">
        <v>549</v>
      </c>
      <c r="F139" s="66" t="s">
        <v>550</v>
      </c>
      <c r="G139" s="66" t="s">
        <v>551</v>
      </c>
      <c r="H139" s="67" t="s">
        <v>552</v>
      </c>
      <c r="I139" s="68">
        <v>2342</v>
      </c>
      <c r="J139" s="66">
        <v>1589</v>
      </c>
      <c r="K139" s="66" t="s">
        <v>553</v>
      </c>
      <c r="L139" s="66" t="str">
        <f>IF(0.5*301.01=0," ",TEXT(,ROUND((0.5*301.01*3.52),0)))</f>
        <v>530</v>
      </c>
      <c r="M139" s="66" t="s">
        <v>554</v>
      </c>
      <c r="N139" s="66" t="s">
        <v>555</v>
      </c>
      <c r="O139" s="69"/>
      <c r="P139" s="69"/>
      <c r="Q139" s="69"/>
      <c r="R139" s="69"/>
      <c r="S139" s="69"/>
      <c r="T139" s="70"/>
      <c r="U139" s="70"/>
      <c r="V139" s="70"/>
      <c r="W139" s="70"/>
      <c r="X139" s="70"/>
      <c r="Y139" s="70"/>
      <c r="Z139" s="70"/>
      <c r="AA139" s="70" t="s">
        <v>545</v>
      </c>
      <c r="AB139" s="70" t="s">
        <v>46</v>
      </c>
      <c r="AC139" s="70">
        <v>1301</v>
      </c>
      <c r="AD139" s="70">
        <v>835</v>
      </c>
      <c r="AE139" s="70"/>
      <c r="AF139" s="70" t="s">
        <v>556</v>
      </c>
      <c r="AG139" s="70" t="s">
        <v>109</v>
      </c>
      <c r="AH139" s="70"/>
      <c r="AI139" s="70">
        <f>1589+17</f>
        <v>1606</v>
      </c>
    </row>
    <row r="140" spans="1:35" ht="91.2" x14ac:dyDescent="0.25">
      <c r="A140" s="62">
        <v>96</v>
      </c>
      <c r="B140" s="63" t="s">
        <v>557</v>
      </c>
      <c r="C140" s="64" t="str">
        <f t="shared" ca="1" si="7"/>
        <v xml:space="preserve">Проводник заземляющий открыто по строительным основаниям: из круглой стали диаметром 12 мм (16 мм)
---------------------------------------------------------------------
100 м
---------------------------------------------------------------------411 руб. НР 81%=95%*0.85 от ФОТ (507 руб.)
264 руб. СП 52%=65%*0.8 от ФОТ (507 руб.)
</v>
      </c>
      <c r="D140" s="65">
        <v>0.15</v>
      </c>
      <c r="E140" s="66" t="s">
        <v>558</v>
      </c>
      <c r="F140" s="66" t="s">
        <v>559</v>
      </c>
      <c r="G140" s="66" t="s">
        <v>560</v>
      </c>
      <c r="H140" s="67" t="s">
        <v>552</v>
      </c>
      <c r="I140" s="68">
        <v>648</v>
      </c>
      <c r="J140" s="66">
        <v>507</v>
      </c>
      <c r="K140" s="66">
        <v>85</v>
      </c>
      <c r="L140" s="66" t="str">
        <f>IF(0.15*105.21=0," ",TEXT(,ROUND((0.15*105.21*3.52),0)))</f>
        <v>56</v>
      </c>
      <c r="M140" s="66" t="s">
        <v>561</v>
      </c>
      <c r="N140" s="66" t="s">
        <v>562</v>
      </c>
      <c r="O140" s="69"/>
      <c r="P140" s="69"/>
      <c r="Q140" s="69"/>
      <c r="R140" s="69"/>
      <c r="S140" s="69"/>
      <c r="T140" s="70"/>
      <c r="U140" s="70"/>
      <c r="V140" s="70"/>
      <c r="W140" s="70"/>
      <c r="X140" s="70"/>
      <c r="Y140" s="70"/>
      <c r="Z140" s="70"/>
      <c r="AA140" s="70" t="s">
        <v>545</v>
      </c>
      <c r="AB140" s="70" t="s">
        <v>46</v>
      </c>
      <c r="AC140" s="70">
        <v>411</v>
      </c>
      <c r="AD140" s="70">
        <v>264</v>
      </c>
      <c r="AE140" s="70"/>
      <c r="AF140" s="70" t="s">
        <v>563</v>
      </c>
      <c r="AG140" s="70" t="s">
        <v>109</v>
      </c>
      <c r="AH140" s="70"/>
      <c r="AI140" s="70">
        <f>507+0</f>
        <v>507</v>
      </c>
    </row>
    <row r="141" spans="1:35" ht="91.2" x14ac:dyDescent="0.25">
      <c r="A141" s="62">
        <v>97</v>
      </c>
      <c r="B141" s="63" t="s">
        <v>564</v>
      </c>
      <c r="C141" s="64" t="str">
        <f t="shared" ca="1" si="7"/>
        <v xml:space="preserve">Заземлитель горизонтальный из стали: полосовой сечением 160 мм2
---------------------------------------------------------------------
100 м
---------------------------------------------------------------------219 руб. НР 81%=95%*0.85 от ФОТ (270 руб.)
140 руб. СП 52%=65%*0.8 от ФОТ (270 руб.)
</v>
      </c>
      <c r="D141" s="65">
        <v>0.1</v>
      </c>
      <c r="E141" s="66" t="s">
        <v>565</v>
      </c>
      <c r="F141" s="66" t="s">
        <v>566</v>
      </c>
      <c r="G141" s="66" t="s">
        <v>567</v>
      </c>
      <c r="H141" s="67" t="s">
        <v>568</v>
      </c>
      <c r="I141" s="68">
        <v>345</v>
      </c>
      <c r="J141" s="66">
        <v>270</v>
      </c>
      <c r="K141" s="66">
        <v>60</v>
      </c>
      <c r="L141" s="66" t="str">
        <f>IF(0.1*41.59=0," ",TEXT(,ROUND((0.1*41.59*3.64),0)))</f>
        <v>15</v>
      </c>
      <c r="M141" s="66" t="s">
        <v>569</v>
      </c>
      <c r="N141" s="66" t="s">
        <v>570</v>
      </c>
      <c r="O141" s="69"/>
      <c r="P141" s="69"/>
      <c r="Q141" s="69"/>
      <c r="R141" s="69"/>
      <c r="S141" s="69"/>
      <c r="T141" s="70"/>
      <c r="U141" s="70"/>
      <c r="V141" s="70"/>
      <c r="W141" s="70"/>
      <c r="X141" s="70"/>
      <c r="Y141" s="70"/>
      <c r="Z141" s="70"/>
      <c r="AA141" s="70" t="s">
        <v>545</v>
      </c>
      <c r="AB141" s="70" t="s">
        <v>46</v>
      </c>
      <c r="AC141" s="70">
        <v>219</v>
      </c>
      <c r="AD141" s="70">
        <v>140</v>
      </c>
      <c r="AE141" s="70"/>
      <c r="AF141" s="70" t="s">
        <v>571</v>
      </c>
      <c r="AG141" s="70" t="s">
        <v>109</v>
      </c>
      <c r="AH141" s="70"/>
      <c r="AI141" s="70">
        <f>270+0</f>
        <v>270</v>
      </c>
    </row>
    <row r="142" spans="1:35" ht="91.2" x14ac:dyDescent="0.25">
      <c r="A142" s="62">
        <v>98</v>
      </c>
      <c r="B142" s="63" t="s">
        <v>572</v>
      </c>
      <c r="C142" s="64" t="str">
        <f t="shared" ca="1" si="7"/>
        <v xml:space="preserve">Засыпка вручную траншей, пазух котлованов и ям, группа грунтов: 1
---------------------------------------------------------------------
100 м3 грунта
---------------------------------------------------------------------31 руб. НР 61%=80%*(0.9*0.85) от ФОТ (51 руб.)
16 руб. СП 31%=45%*(0.85*0.8) от ФОТ (51 руб.)
</v>
      </c>
      <c r="D142" s="65">
        <v>5.0000000000000001E-3</v>
      </c>
      <c r="E142" s="66" t="s">
        <v>573</v>
      </c>
      <c r="F142" s="66"/>
      <c r="G142" s="66" t="s">
        <v>33</v>
      </c>
      <c r="H142" s="67" t="s">
        <v>574</v>
      </c>
      <c r="I142" s="68">
        <v>51</v>
      </c>
      <c r="J142" s="66">
        <v>51</v>
      </c>
      <c r="K142" s="66"/>
      <c r="L142" s="66" t="str">
        <f>IF(0.005*0=0," ",TEXT(,ROUND((0.005*0*1),0)))</f>
        <v xml:space="preserve"> </v>
      </c>
      <c r="M142" s="66">
        <v>88.5</v>
      </c>
      <c r="N142" s="66">
        <v>0.44</v>
      </c>
      <c r="O142" s="69"/>
      <c r="P142" s="69"/>
      <c r="Q142" s="69"/>
      <c r="R142" s="69"/>
      <c r="S142" s="69"/>
      <c r="T142" s="70"/>
      <c r="U142" s="70"/>
      <c r="V142" s="70"/>
      <c r="W142" s="70"/>
      <c r="X142" s="70"/>
      <c r="Y142" s="70"/>
      <c r="Z142" s="70"/>
      <c r="AA142" s="70" t="s">
        <v>575</v>
      </c>
      <c r="AB142" s="70" t="s">
        <v>576</v>
      </c>
      <c r="AC142" s="70">
        <v>31</v>
      </c>
      <c r="AD142" s="70">
        <v>16</v>
      </c>
      <c r="AE142" s="70"/>
      <c r="AF142" s="70" t="s">
        <v>577</v>
      </c>
      <c r="AG142" s="70" t="s">
        <v>578</v>
      </c>
      <c r="AH142" s="70"/>
      <c r="AI142" s="70">
        <f>51+0</f>
        <v>51</v>
      </c>
    </row>
    <row r="143" spans="1:35" ht="125.4" x14ac:dyDescent="0.25">
      <c r="A143" s="62">
        <v>99</v>
      </c>
      <c r="B143" s="63" t="s">
        <v>579</v>
      </c>
      <c r="C143" s="64" t="str">
        <f t="shared" ca="1" si="7"/>
        <v xml:space="preserve">Установка стоек телефонных: однопарных (молниеотвод Форенд)
---------------------------------------------------------------------
1 стойка
---------------------------------------------------------------------КОЭФ. К ПОЗИЦИИ:
Без учета стоимости материалов МАТ=0 к расх.
---------------------------------------------------------------------390 руб. НР 77%=100%*(0.9*0.85) от ФОТ (507 руб.)
223 руб. СП 44%=65%*(0.85*0.8) от ФОТ (507 руб.)
</v>
      </c>
      <c r="D143" s="65">
        <v>1</v>
      </c>
      <c r="E143" s="66" t="s">
        <v>580</v>
      </c>
      <c r="F143" s="66"/>
      <c r="G143" s="66" t="s">
        <v>33</v>
      </c>
      <c r="H143" s="67" t="s">
        <v>581</v>
      </c>
      <c r="I143" s="68">
        <v>507</v>
      </c>
      <c r="J143" s="66">
        <v>507</v>
      </c>
      <c r="K143" s="66"/>
      <c r="L143" s="66" t="str">
        <f>IF(1*0=0," ",TEXT(,ROUND((1*0*2.41),0)))</f>
        <v xml:space="preserve"> </v>
      </c>
      <c r="M143" s="66">
        <v>3.17</v>
      </c>
      <c r="N143" s="66">
        <v>3.17</v>
      </c>
      <c r="O143" s="69"/>
      <c r="P143" s="69"/>
      <c r="Q143" s="69"/>
      <c r="R143" s="69"/>
      <c r="S143" s="69"/>
      <c r="T143" s="70"/>
      <c r="U143" s="70"/>
      <c r="V143" s="70"/>
      <c r="W143" s="70"/>
      <c r="X143" s="70"/>
      <c r="Y143" s="70"/>
      <c r="Z143" s="70"/>
      <c r="AA143" s="70" t="s">
        <v>208</v>
      </c>
      <c r="AB143" s="70" t="s">
        <v>287</v>
      </c>
      <c r="AC143" s="70">
        <v>390</v>
      </c>
      <c r="AD143" s="70">
        <v>223</v>
      </c>
      <c r="AE143" s="79" t="s">
        <v>582</v>
      </c>
      <c r="AF143" s="70" t="s">
        <v>583</v>
      </c>
      <c r="AG143" s="70" t="s">
        <v>584</v>
      </c>
      <c r="AH143" s="70"/>
      <c r="AI143" s="70">
        <f>507+0</f>
        <v>507</v>
      </c>
    </row>
    <row r="144" spans="1:35" ht="91.2" x14ac:dyDescent="0.25">
      <c r="A144" s="62">
        <v>100</v>
      </c>
      <c r="B144" s="63" t="s">
        <v>585</v>
      </c>
      <c r="C144" s="64" t="str">
        <f t="shared" ca="1" si="7"/>
        <v xml:space="preserve">Прибор измерения и защиты, количество подключаемых концов: до 2
---------------------------------------------------------------------
1 шт.
---------------------------------------------------------------------315 руб. НР 81%=95%*0.85 от ФОТ (389 руб.)
202 руб. СП 52%=65%*0.8 от ФОТ (389 руб.)
</v>
      </c>
      <c r="D144" s="65">
        <v>2</v>
      </c>
      <c r="E144" s="66" t="s">
        <v>586</v>
      </c>
      <c r="F144" s="66" t="s">
        <v>587</v>
      </c>
      <c r="G144" s="66" t="s">
        <v>588</v>
      </c>
      <c r="H144" s="67" t="s">
        <v>589</v>
      </c>
      <c r="I144" s="68">
        <v>560</v>
      </c>
      <c r="J144" s="66">
        <v>372</v>
      </c>
      <c r="K144" s="66" t="s">
        <v>590</v>
      </c>
      <c r="L144" s="66" t="str">
        <f>IF(2*0.58=0," ",TEXT(,ROUND((2*0.58*6.12),0)))</f>
        <v>7</v>
      </c>
      <c r="M144" s="66" t="s">
        <v>591</v>
      </c>
      <c r="N144" s="66" t="s">
        <v>592</v>
      </c>
      <c r="O144" s="69"/>
      <c r="P144" s="69"/>
      <c r="Q144" s="69"/>
      <c r="R144" s="69"/>
      <c r="S144" s="69"/>
      <c r="T144" s="70"/>
      <c r="U144" s="70"/>
      <c r="V144" s="70"/>
      <c r="W144" s="70"/>
      <c r="X144" s="70"/>
      <c r="Y144" s="70"/>
      <c r="Z144" s="70"/>
      <c r="AA144" s="70" t="s">
        <v>545</v>
      </c>
      <c r="AB144" s="70" t="s">
        <v>46</v>
      </c>
      <c r="AC144" s="70">
        <v>315</v>
      </c>
      <c r="AD144" s="70">
        <v>202</v>
      </c>
      <c r="AE144" s="70"/>
      <c r="AF144" s="70" t="s">
        <v>593</v>
      </c>
      <c r="AG144" s="70" t="s">
        <v>594</v>
      </c>
      <c r="AH144" s="70"/>
      <c r="AI144" s="70">
        <f>372+17</f>
        <v>389</v>
      </c>
    </row>
    <row r="145" spans="1:35" ht="18.45" customHeight="1" x14ac:dyDescent="0.25">
      <c r="A145" s="88" t="s">
        <v>595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</row>
    <row r="146" spans="1:35" ht="57" x14ac:dyDescent="0.25">
      <c r="A146" s="62">
        <v>101</v>
      </c>
      <c r="B146" s="63" t="s">
        <v>596</v>
      </c>
      <c r="C146" s="64" t="str">
        <f t="shared" ref="C146:C163" ca="1" si="8">INDIRECT("AF"&amp;ROW())&amp;CHAR(10)&amp;"---------------------------------------------------------------------"&amp;CHAR(10)&amp;INDIRECT("AG"&amp;ROW())&amp;IF(INDIRECT("AE"&amp;ROW())="", "", CHAR(10)&amp;"---------------------------------------------------------------------"&amp;INDIRECT("AE"&amp;ROW()))&amp;IF(INDIRECT("AC"&amp;ROW())="", "", CHAR(10)&amp;"---------------------------------------------------------------------"&amp;INDIRECT("AC"&amp;ROW())&amp;" руб. "&amp;INDIRECT("AA"&amp;ROW())&amp;" ("&amp;INDIRECT("AI"&amp;ROW())&amp;" руб.)")&amp;IF(INDIRECT("AD"&amp;ROW())="", "", CHAR(10)&amp;INDIRECT("AD"&amp;ROW())&amp;" руб. "&amp;INDIRECT("AB"&amp;ROW())&amp;" ("&amp;INDIRECT("AI"&amp;ROW())&amp;" руб.)")&amp;CHAR(10)</f>
        <v xml:space="preserve">Держатель проводника DEHNhold Rd=8-10 мм,  h=20мм, NIRO DEHN
---------------------------------------------------------------------
шт
</v>
      </c>
      <c r="D146" s="65">
        <v>25</v>
      </c>
      <c r="E146" s="66">
        <v>25.86</v>
      </c>
      <c r="F146" s="66"/>
      <c r="G146" s="66" t="s">
        <v>597</v>
      </c>
      <c r="H146" s="67" t="s">
        <v>154</v>
      </c>
      <c r="I146" s="68">
        <v>3597</v>
      </c>
      <c r="J146" s="66"/>
      <c r="K146" s="66"/>
      <c r="L146" s="66" t="str">
        <f>IF(25*25.86=0," ",TEXT(,ROUND((25*25.86*5.56),0)))</f>
        <v>3595</v>
      </c>
      <c r="M146" s="66"/>
      <c r="N146" s="66"/>
      <c r="O146" s="69"/>
      <c r="P146" s="69"/>
      <c r="Q146" s="69"/>
      <c r="R146" s="69"/>
      <c r="S146" s="69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 t="s">
        <v>598</v>
      </c>
      <c r="AG146" s="70" t="s">
        <v>156</v>
      </c>
      <c r="AH146" s="70"/>
      <c r="AI146" s="70">
        <f t="shared" ref="AI146:AI163" si="9">0+0</f>
        <v>0</v>
      </c>
    </row>
    <row r="147" spans="1:35" ht="57" x14ac:dyDescent="0.25">
      <c r="A147" s="62">
        <v>102</v>
      </c>
      <c r="B147" s="63" t="s">
        <v>596</v>
      </c>
      <c r="C147" s="64" t="str">
        <f t="shared" ca="1" si="8"/>
        <v xml:space="preserve">Держатель проводника на кровле DEHNgrip h=36мм
---------------------------------------------------------------------
шт
</v>
      </c>
      <c r="D147" s="65">
        <v>20</v>
      </c>
      <c r="E147" s="66">
        <v>67.45</v>
      </c>
      <c r="F147" s="66"/>
      <c r="G147" s="66" t="s">
        <v>599</v>
      </c>
      <c r="H147" s="67" t="s">
        <v>154</v>
      </c>
      <c r="I147" s="68">
        <v>7500</v>
      </c>
      <c r="J147" s="66"/>
      <c r="K147" s="66"/>
      <c r="L147" s="66" t="str">
        <f>IF(20*67.45=0," ",TEXT(,ROUND((20*67.45*5.56),0)))</f>
        <v>7500</v>
      </c>
      <c r="M147" s="66"/>
      <c r="N147" s="66"/>
      <c r="O147" s="69"/>
      <c r="P147" s="69"/>
      <c r="Q147" s="69"/>
      <c r="R147" s="69"/>
      <c r="S147" s="69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 t="s">
        <v>600</v>
      </c>
      <c r="AG147" s="70" t="s">
        <v>156</v>
      </c>
      <c r="AH147" s="70"/>
      <c r="AI147" s="70">
        <f t="shared" si="9"/>
        <v>0</v>
      </c>
    </row>
    <row r="148" spans="1:35" ht="57" x14ac:dyDescent="0.25">
      <c r="A148" s="62">
        <v>103</v>
      </c>
      <c r="B148" s="63" t="s">
        <v>596</v>
      </c>
      <c r="C148" s="64" t="str">
        <f t="shared" ca="1" si="8"/>
        <v xml:space="preserve">Крестообразный соединитель Rd/Fl=8-10/30-40 мм St/tZn
---------------------------------------------------------------------
шт
</v>
      </c>
      <c r="D148" s="65">
        <v>2</v>
      </c>
      <c r="E148" s="66">
        <v>95.11</v>
      </c>
      <c r="F148" s="66"/>
      <c r="G148" s="66" t="s">
        <v>601</v>
      </c>
      <c r="H148" s="67" t="s">
        <v>154</v>
      </c>
      <c r="I148" s="68">
        <v>1056</v>
      </c>
      <c r="J148" s="66"/>
      <c r="K148" s="66"/>
      <c r="L148" s="66" t="str">
        <f>IF(2*95.11=0," ",TEXT(,ROUND((2*95.11*5.56),0)))</f>
        <v>1058</v>
      </c>
      <c r="M148" s="66"/>
      <c r="N148" s="66"/>
      <c r="O148" s="69"/>
      <c r="P148" s="69"/>
      <c r="Q148" s="69"/>
      <c r="R148" s="69"/>
      <c r="S148" s="69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 t="s">
        <v>602</v>
      </c>
      <c r="AG148" s="70" t="s">
        <v>156</v>
      </c>
      <c r="AH148" s="70"/>
      <c r="AI148" s="70">
        <f t="shared" si="9"/>
        <v>0</v>
      </c>
    </row>
    <row r="149" spans="1:35" ht="57" x14ac:dyDescent="0.25">
      <c r="A149" s="62">
        <v>104</v>
      </c>
      <c r="B149" s="63" t="s">
        <v>596</v>
      </c>
      <c r="C149" s="64" t="str">
        <f t="shared" ca="1" si="8"/>
        <v xml:space="preserve">Универсальная разделительная клемма NIRO Rd/Rd=8-10/8-10 мм
---------------------------------------------------------------------
шт
</v>
      </c>
      <c r="D149" s="65">
        <v>2</v>
      </c>
      <c r="E149" s="66">
        <v>61.33</v>
      </c>
      <c r="F149" s="66"/>
      <c r="G149" s="66" t="s">
        <v>603</v>
      </c>
      <c r="H149" s="67" t="s">
        <v>154</v>
      </c>
      <c r="I149" s="68">
        <v>684</v>
      </c>
      <c r="J149" s="66"/>
      <c r="K149" s="66"/>
      <c r="L149" s="66" t="str">
        <f>IF(2*61.33=0," ",TEXT(,ROUND((2*61.33*5.56),0)))</f>
        <v>682</v>
      </c>
      <c r="M149" s="66"/>
      <c r="N149" s="66"/>
      <c r="O149" s="69"/>
      <c r="P149" s="69"/>
      <c r="Q149" s="69"/>
      <c r="R149" s="69"/>
      <c r="S149" s="69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 t="s">
        <v>604</v>
      </c>
      <c r="AG149" s="70" t="s">
        <v>156</v>
      </c>
      <c r="AH149" s="70"/>
      <c r="AI149" s="70">
        <f t="shared" si="9"/>
        <v>0</v>
      </c>
    </row>
    <row r="150" spans="1:35" ht="57" x14ac:dyDescent="0.25">
      <c r="A150" s="62">
        <v>105</v>
      </c>
      <c r="B150" s="63" t="s">
        <v>596</v>
      </c>
      <c r="C150" s="64" t="str">
        <f t="shared" ca="1" si="8"/>
        <v xml:space="preserve">Ударный наконечник стержня глубинного заземлителя
---------------------------------------------------------------------
шт
</v>
      </c>
      <c r="D150" s="65">
        <v>3</v>
      </c>
      <c r="E150" s="66">
        <v>31.47</v>
      </c>
      <c r="F150" s="66"/>
      <c r="G150" s="66" t="s">
        <v>605</v>
      </c>
      <c r="H150" s="67" t="s">
        <v>154</v>
      </c>
      <c r="I150" s="68">
        <v>523</v>
      </c>
      <c r="J150" s="66"/>
      <c r="K150" s="66"/>
      <c r="L150" s="66" t="str">
        <f>IF(3*31.47=0," ",TEXT(,ROUND((3*31.47*5.56),0)))</f>
        <v>525</v>
      </c>
      <c r="M150" s="66"/>
      <c r="N150" s="66"/>
      <c r="O150" s="69"/>
      <c r="P150" s="69"/>
      <c r="Q150" s="69"/>
      <c r="R150" s="69"/>
      <c r="S150" s="69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 t="s">
        <v>606</v>
      </c>
      <c r="AG150" s="70" t="s">
        <v>156</v>
      </c>
      <c r="AH150" s="70"/>
      <c r="AI150" s="70">
        <f t="shared" si="9"/>
        <v>0</v>
      </c>
    </row>
    <row r="151" spans="1:35" ht="57" x14ac:dyDescent="0.25">
      <c r="A151" s="62">
        <v>106</v>
      </c>
      <c r="B151" s="63" t="s">
        <v>596</v>
      </c>
      <c r="C151" s="64" t="str">
        <f t="shared" ca="1" si="8"/>
        <v xml:space="preserve">Соединительный зажим St/tZn D=20мм
---------------------------------------------------------------------
шт
</v>
      </c>
      <c r="D151" s="65">
        <v>3</v>
      </c>
      <c r="E151" s="66">
        <v>74.19</v>
      </c>
      <c r="F151" s="66"/>
      <c r="G151" s="66" t="s">
        <v>607</v>
      </c>
      <c r="H151" s="67" t="s">
        <v>154</v>
      </c>
      <c r="I151" s="68">
        <v>1240</v>
      </c>
      <c r="J151" s="66"/>
      <c r="K151" s="66"/>
      <c r="L151" s="66" t="str">
        <f>IF(3*74.19=0," ",TEXT(,ROUND((3*74.19*5.56),0)))</f>
        <v>1237</v>
      </c>
      <c r="M151" s="66"/>
      <c r="N151" s="66"/>
      <c r="O151" s="69"/>
      <c r="P151" s="69"/>
      <c r="Q151" s="69"/>
      <c r="R151" s="69"/>
      <c r="S151" s="69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 t="s">
        <v>608</v>
      </c>
      <c r="AG151" s="70" t="s">
        <v>156</v>
      </c>
      <c r="AH151" s="70"/>
      <c r="AI151" s="70">
        <f t="shared" si="9"/>
        <v>0</v>
      </c>
    </row>
    <row r="152" spans="1:35" ht="57" x14ac:dyDescent="0.25">
      <c r="A152" s="62">
        <v>107</v>
      </c>
      <c r="B152" s="63" t="s">
        <v>596</v>
      </c>
      <c r="C152" s="64" t="str">
        <f t="shared" ca="1" si="8"/>
        <v xml:space="preserve">Стержень глубинного заземлителя  DEHN тип Z D=20мм,St/tZn
---------------------------------------------------------------------
шт
</v>
      </c>
      <c r="D152" s="65">
        <v>6</v>
      </c>
      <c r="E152" s="66">
        <v>281.02999999999997</v>
      </c>
      <c r="F152" s="66"/>
      <c r="G152" s="66" t="s">
        <v>609</v>
      </c>
      <c r="H152" s="67" t="s">
        <v>154</v>
      </c>
      <c r="I152" s="68">
        <v>9374</v>
      </c>
      <c r="J152" s="66"/>
      <c r="K152" s="66"/>
      <c r="L152" s="66" t="str">
        <f>IF(6*281.03=0," ",TEXT(,ROUND((6*281.03*5.56),0)))</f>
        <v>9375</v>
      </c>
      <c r="M152" s="66"/>
      <c r="N152" s="66"/>
      <c r="O152" s="69"/>
      <c r="P152" s="69"/>
      <c r="Q152" s="69"/>
      <c r="R152" s="69"/>
      <c r="S152" s="69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 t="s">
        <v>610</v>
      </c>
      <c r="AG152" s="70" t="s">
        <v>156</v>
      </c>
      <c r="AH152" s="70"/>
      <c r="AI152" s="70">
        <f t="shared" si="9"/>
        <v>0</v>
      </c>
    </row>
    <row r="153" spans="1:35" ht="57" x14ac:dyDescent="0.25">
      <c r="A153" s="62">
        <v>108</v>
      </c>
      <c r="B153" s="63" t="s">
        <v>596</v>
      </c>
      <c r="C153" s="64" t="str">
        <f t="shared" ca="1" si="8"/>
        <v xml:space="preserve">Круглый проводник D=8мм DEHN St/tZn
---------------------------------------------------------------------
м
</v>
      </c>
      <c r="D153" s="65">
        <v>50</v>
      </c>
      <c r="E153" s="66">
        <v>11.24</v>
      </c>
      <c r="F153" s="66"/>
      <c r="G153" s="66" t="s">
        <v>611</v>
      </c>
      <c r="H153" s="67" t="s">
        <v>154</v>
      </c>
      <c r="I153" s="68">
        <v>3125</v>
      </c>
      <c r="J153" s="66"/>
      <c r="K153" s="66"/>
      <c r="L153" s="66" t="str">
        <f>IF(50*11.24=0," ",TEXT(,ROUND((50*11.24*5.56),0)))</f>
        <v>3125</v>
      </c>
      <c r="M153" s="66"/>
      <c r="N153" s="66"/>
      <c r="O153" s="69"/>
      <c r="P153" s="69"/>
      <c r="Q153" s="69"/>
      <c r="R153" s="69"/>
      <c r="S153" s="69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 t="s">
        <v>612</v>
      </c>
      <c r="AG153" s="70" t="s">
        <v>333</v>
      </c>
      <c r="AH153" s="70"/>
      <c r="AI153" s="70">
        <f t="shared" si="9"/>
        <v>0</v>
      </c>
    </row>
    <row r="154" spans="1:35" ht="57" x14ac:dyDescent="0.25">
      <c r="A154" s="62">
        <v>109</v>
      </c>
      <c r="B154" s="63" t="s">
        <v>596</v>
      </c>
      <c r="C154" s="64" t="str">
        <f t="shared" ca="1" si="8"/>
        <v xml:space="preserve">Круглый проводник в ПВХ оболочке D=10/13 мм34кг/50м St/tZn
---------------------------------------------------------------------
м
</v>
      </c>
      <c r="D154" s="65">
        <v>7</v>
      </c>
      <c r="E154" s="66">
        <v>58.45</v>
      </c>
      <c r="F154" s="66"/>
      <c r="G154" s="66" t="s">
        <v>613</v>
      </c>
      <c r="H154" s="67" t="s">
        <v>154</v>
      </c>
      <c r="I154" s="68">
        <v>2274</v>
      </c>
      <c r="J154" s="66"/>
      <c r="K154" s="66"/>
      <c r="L154" s="66" t="str">
        <f>IF(7*58.45=0," ",TEXT(,ROUND((7*58.45*5.56),0)))</f>
        <v>2275</v>
      </c>
      <c r="M154" s="66"/>
      <c r="N154" s="66"/>
      <c r="O154" s="69"/>
      <c r="P154" s="69"/>
      <c r="Q154" s="69"/>
      <c r="R154" s="69"/>
      <c r="S154" s="69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 t="s">
        <v>614</v>
      </c>
      <c r="AG154" s="70" t="s">
        <v>333</v>
      </c>
      <c r="AH154" s="70"/>
      <c r="AI154" s="70">
        <f t="shared" si="9"/>
        <v>0</v>
      </c>
    </row>
    <row r="155" spans="1:35" ht="57" x14ac:dyDescent="0.25">
      <c r="A155" s="62">
        <v>110</v>
      </c>
      <c r="B155" s="63" t="s">
        <v>596</v>
      </c>
      <c r="C155" s="64" t="str">
        <f t="shared" ca="1" si="8"/>
        <v xml:space="preserve">Активный молниеотвод Форенд forend eu f 10110
---------------------------------------------------------------------
шт
</v>
      </c>
      <c r="D155" s="65">
        <v>1</v>
      </c>
      <c r="E155" s="66">
        <v>13758.99</v>
      </c>
      <c r="F155" s="66"/>
      <c r="G155" s="66" t="s">
        <v>615</v>
      </c>
      <c r="H155" s="67" t="s">
        <v>154</v>
      </c>
      <c r="I155" s="68">
        <v>76500</v>
      </c>
      <c r="J155" s="66"/>
      <c r="K155" s="66"/>
      <c r="L155" s="66" t="str">
        <f>IF(1*13758.99=0," ",TEXT(,ROUND((1*13758.99*5.56),0)))</f>
        <v>76500</v>
      </c>
      <c r="M155" s="66"/>
      <c r="N155" s="66"/>
      <c r="O155" s="69"/>
      <c r="P155" s="69"/>
      <c r="Q155" s="69"/>
      <c r="R155" s="69"/>
      <c r="S155" s="69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 t="s">
        <v>616</v>
      </c>
      <c r="AG155" s="70" t="s">
        <v>156</v>
      </c>
      <c r="AH155" s="70"/>
      <c r="AI155" s="70">
        <f t="shared" si="9"/>
        <v>0</v>
      </c>
    </row>
    <row r="156" spans="1:35" ht="57" x14ac:dyDescent="0.25">
      <c r="A156" s="62">
        <v>111</v>
      </c>
      <c r="B156" s="63" t="s">
        <v>596</v>
      </c>
      <c r="C156" s="64" t="str">
        <f t="shared" ca="1" si="8"/>
        <v xml:space="preserve">Антикоррозийная защитная лента W=300мм, L=10мм
---------------------------------------------------------------------
шт
</v>
      </c>
      <c r="D156" s="65">
        <v>2</v>
      </c>
      <c r="E156" s="66">
        <v>157.37</v>
      </c>
      <c r="F156" s="66"/>
      <c r="G156" s="66" t="s">
        <v>617</v>
      </c>
      <c r="H156" s="67" t="s">
        <v>154</v>
      </c>
      <c r="I156" s="68">
        <v>1751</v>
      </c>
      <c r="J156" s="66"/>
      <c r="K156" s="66"/>
      <c r="L156" s="66" t="str">
        <f>IF(2*157.37=0," ",TEXT(,ROUND((2*157.37*5.56),0)))</f>
        <v>1750</v>
      </c>
      <c r="M156" s="66"/>
      <c r="N156" s="66"/>
      <c r="O156" s="69"/>
      <c r="P156" s="69"/>
      <c r="Q156" s="69"/>
      <c r="R156" s="69"/>
      <c r="S156" s="69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 t="s">
        <v>618</v>
      </c>
      <c r="AG156" s="70" t="s">
        <v>156</v>
      </c>
      <c r="AH156" s="70"/>
      <c r="AI156" s="70">
        <f t="shared" si="9"/>
        <v>0</v>
      </c>
    </row>
    <row r="157" spans="1:35" ht="57" x14ac:dyDescent="0.25">
      <c r="A157" s="62">
        <v>112</v>
      </c>
      <c r="B157" s="63" t="s">
        <v>596</v>
      </c>
      <c r="C157" s="64" t="str">
        <f t="shared" ca="1" si="8"/>
        <v xml:space="preserve">Гальванизированная труба 3м /(мачта молниеотвода)
---------------------------------------------------------------------
шт
</v>
      </c>
      <c r="D157" s="65">
        <v>1</v>
      </c>
      <c r="E157" s="66">
        <v>629.5</v>
      </c>
      <c r="F157" s="66"/>
      <c r="G157" s="66" t="s">
        <v>619</v>
      </c>
      <c r="H157" s="67" t="s">
        <v>154</v>
      </c>
      <c r="I157" s="68">
        <v>3503</v>
      </c>
      <c r="J157" s="66"/>
      <c r="K157" s="66"/>
      <c r="L157" s="66" t="str">
        <f>IF(1*629.5=0," ",TEXT(,ROUND((1*629.5*5.56),0)))</f>
        <v>3500</v>
      </c>
      <c r="M157" s="66"/>
      <c r="N157" s="66"/>
      <c r="O157" s="69"/>
      <c r="P157" s="69"/>
      <c r="Q157" s="69"/>
      <c r="R157" s="69"/>
      <c r="S157" s="69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 t="s">
        <v>620</v>
      </c>
      <c r="AG157" s="70" t="s">
        <v>156</v>
      </c>
      <c r="AH157" s="70"/>
      <c r="AI157" s="70">
        <f t="shared" si="9"/>
        <v>0</v>
      </c>
    </row>
    <row r="158" spans="1:35" ht="57" x14ac:dyDescent="0.25">
      <c r="A158" s="62">
        <v>113</v>
      </c>
      <c r="B158" s="63" t="s">
        <v>596</v>
      </c>
      <c r="C158" s="64" t="str">
        <f t="shared" ca="1" si="8"/>
        <v xml:space="preserve">Полоса оцинкованная 40*4
---------------------------------------------------------------------
шт
</v>
      </c>
      <c r="D158" s="65">
        <v>10</v>
      </c>
      <c r="E158" s="66">
        <v>31.47</v>
      </c>
      <c r="F158" s="66"/>
      <c r="G158" s="66" t="s">
        <v>605</v>
      </c>
      <c r="H158" s="67" t="s">
        <v>154</v>
      </c>
      <c r="I158" s="68">
        <v>1751</v>
      </c>
      <c r="J158" s="66"/>
      <c r="K158" s="66"/>
      <c r="L158" s="66" t="str">
        <f>IF(10*31.47=0," ",TEXT(,ROUND((10*31.47*5.56),0)))</f>
        <v>1750</v>
      </c>
      <c r="M158" s="66"/>
      <c r="N158" s="66"/>
      <c r="O158" s="69"/>
      <c r="P158" s="69"/>
      <c r="Q158" s="69"/>
      <c r="R158" s="69"/>
      <c r="S158" s="69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 t="s">
        <v>621</v>
      </c>
      <c r="AG158" s="70" t="s">
        <v>156</v>
      </c>
      <c r="AH158" s="70"/>
      <c r="AI158" s="70">
        <f t="shared" si="9"/>
        <v>0</v>
      </c>
    </row>
    <row r="159" spans="1:35" ht="57" x14ac:dyDescent="0.25">
      <c r="A159" s="62">
        <v>114</v>
      </c>
      <c r="B159" s="63" t="s">
        <v>596</v>
      </c>
      <c r="C159" s="64" t="str">
        <f t="shared" ca="1" si="8"/>
        <v xml:space="preserve">Скоба для крепления мачты к стене F20253 (верхний)
---------------------------------------------------------------------
шт
</v>
      </c>
      <c r="D159" s="65">
        <v>2</v>
      </c>
      <c r="E159" s="66">
        <v>128.15</v>
      </c>
      <c r="F159" s="66"/>
      <c r="G159" s="66" t="s">
        <v>622</v>
      </c>
      <c r="H159" s="67" t="s">
        <v>154</v>
      </c>
      <c r="I159" s="68">
        <v>1423</v>
      </c>
      <c r="J159" s="66"/>
      <c r="K159" s="66"/>
      <c r="L159" s="66" t="str">
        <f>IF(2*128.15=0," ",TEXT(,ROUND((2*128.15*5.56),0)))</f>
        <v>1425</v>
      </c>
      <c r="M159" s="66"/>
      <c r="N159" s="66"/>
      <c r="O159" s="69"/>
      <c r="P159" s="69"/>
      <c r="Q159" s="69"/>
      <c r="R159" s="69"/>
      <c r="S159" s="69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 t="s">
        <v>623</v>
      </c>
      <c r="AG159" s="70" t="s">
        <v>156</v>
      </c>
      <c r="AH159" s="70"/>
      <c r="AI159" s="70">
        <f t="shared" si="9"/>
        <v>0</v>
      </c>
    </row>
    <row r="160" spans="1:35" ht="57" x14ac:dyDescent="0.25">
      <c r="A160" s="62">
        <v>115</v>
      </c>
      <c r="B160" s="63" t="s">
        <v>596</v>
      </c>
      <c r="C160" s="64" t="str">
        <f t="shared" ca="1" si="8"/>
        <v xml:space="preserve">Скоба для крепления мачты к стене F20253 (нижний)
---------------------------------------------------------------------
шт
</v>
      </c>
      <c r="D160" s="65">
        <v>1</v>
      </c>
      <c r="E160" s="66">
        <v>128.15</v>
      </c>
      <c r="F160" s="66"/>
      <c r="G160" s="66" t="s">
        <v>622</v>
      </c>
      <c r="H160" s="67" t="s">
        <v>154</v>
      </c>
      <c r="I160" s="68">
        <v>712</v>
      </c>
      <c r="J160" s="66"/>
      <c r="K160" s="66"/>
      <c r="L160" s="66" t="str">
        <f>IF(1*128.15=0," ",TEXT(,ROUND((1*128.15*5.56),0)))</f>
        <v>713</v>
      </c>
      <c r="M160" s="66"/>
      <c r="N160" s="66"/>
      <c r="O160" s="69"/>
      <c r="P160" s="69"/>
      <c r="Q160" s="69"/>
      <c r="R160" s="69"/>
      <c r="S160" s="69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 t="s">
        <v>624</v>
      </c>
      <c r="AG160" s="70" t="s">
        <v>156</v>
      </c>
      <c r="AH160" s="70"/>
      <c r="AI160" s="70">
        <f t="shared" si="9"/>
        <v>0</v>
      </c>
    </row>
    <row r="161" spans="1:35" ht="57" x14ac:dyDescent="0.25">
      <c r="A161" s="62">
        <v>116</v>
      </c>
      <c r="B161" s="63" t="s">
        <v>596</v>
      </c>
      <c r="C161" s="64" t="str">
        <f t="shared" ca="1" si="8"/>
        <v xml:space="preserve">Счетчик ударов молний FLSC FOREND
---------------------------------------------------------------------
шт
</v>
      </c>
      <c r="D161" s="65">
        <v>1</v>
      </c>
      <c r="E161" s="66">
        <v>3282.37</v>
      </c>
      <c r="F161" s="66"/>
      <c r="G161" s="66" t="s">
        <v>625</v>
      </c>
      <c r="H161" s="67" t="s">
        <v>154</v>
      </c>
      <c r="I161" s="68">
        <v>18248</v>
      </c>
      <c r="J161" s="66"/>
      <c r="K161" s="66"/>
      <c r="L161" s="66" t="str">
        <f>IF(1*3282.37=0," ",TEXT(,ROUND((1*3282.37*5.56),0)))</f>
        <v>18250</v>
      </c>
      <c r="M161" s="66"/>
      <c r="N161" s="66"/>
      <c r="O161" s="69"/>
      <c r="P161" s="69"/>
      <c r="Q161" s="69"/>
      <c r="R161" s="69"/>
      <c r="S161" s="69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 t="s">
        <v>626</v>
      </c>
      <c r="AG161" s="70" t="s">
        <v>156</v>
      </c>
      <c r="AH161" s="70"/>
      <c r="AI161" s="70">
        <f t="shared" si="9"/>
        <v>0</v>
      </c>
    </row>
    <row r="162" spans="1:35" ht="57" x14ac:dyDescent="0.25">
      <c r="A162" s="62">
        <v>117</v>
      </c>
      <c r="B162" s="63" t="s">
        <v>596</v>
      </c>
      <c r="C162" s="64" t="str">
        <f t="shared" ca="1" si="8"/>
        <v xml:space="preserve">Тестер FLCT FOREND
---------------------------------------------------------------------
шт
</v>
      </c>
      <c r="D162" s="65">
        <v>1</v>
      </c>
      <c r="E162" s="66">
        <v>5058.45</v>
      </c>
      <c r="F162" s="66"/>
      <c r="G162" s="66" t="s">
        <v>627</v>
      </c>
      <c r="H162" s="67" t="s">
        <v>154</v>
      </c>
      <c r="I162" s="68">
        <v>28122</v>
      </c>
      <c r="J162" s="66"/>
      <c r="K162" s="66"/>
      <c r="L162" s="66" t="str">
        <f>IF(1*5058.45=0," ",TEXT(,ROUND((1*5058.45*5.56),0)))</f>
        <v>28125</v>
      </c>
      <c r="M162" s="66"/>
      <c r="N162" s="66"/>
      <c r="O162" s="69"/>
      <c r="P162" s="69"/>
      <c r="Q162" s="69"/>
      <c r="R162" s="69"/>
      <c r="S162" s="69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 t="s">
        <v>628</v>
      </c>
      <c r="AG162" s="70" t="s">
        <v>156</v>
      </c>
      <c r="AH162" s="70"/>
      <c r="AI162" s="70">
        <f t="shared" si="9"/>
        <v>0</v>
      </c>
    </row>
    <row r="163" spans="1:35" ht="57" x14ac:dyDescent="0.25">
      <c r="A163" s="72">
        <v>118</v>
      </c>
      <c r="B163" s="73" t="s">
        <v>596</v>
      </c>
      <c r="C163" s="74" t="str">
        <f t="shared" ca="1" si="8"/>
        <v xml:space="preserve">Хомут держатель токоотвода на мачте 2*50, пластик F21061
---------------------------------------------------------------------
шт
</v>
      </c>
      <c r="D163" s="75">
        <v>2</v>
      </c>
      <c r="E163" s="76">
        <v>53.96</v>
      </c>
      <c r="F163" s="76"/>
      <c r="G163" s="76" t="s">
        <v>629</v>
      </c>
      <c r="H163" s="77" t="s">
        <v>154</v>
      </c>
      <c r="I163" s="78">
        <v>600</v>
      </c>
      <c r="J163" s="76"/>
      <c r="K163" s="76"/>
      <c r="L163" s="76" t="str">
        <f>IF(2*53.96=0," ",TEXT(,ROUND((2*53.96*5.56),0)))</f>
        <v>600</v>
      </c>
      <c r="M163" s="76"/>
      <c r="N163" s="76"/>
      <c r="O163" s="69"/>
      <c r="P163" s="69"/>
      <c r="Q163" s="69"/>
      <c r="R163" s="69"/>
      <c r="S163" s="69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 t="s">
        <v>630</v>
      </c>
      <c r="AG163" s="70" t="s">
        <v>156</v>
      </c>
      <c r="AH163" s="70"/>
      <c r="AI163" s="70">
        <f t="shared" si="9"/>
        <v>0</v>
      </c>
    </row>
    <row r="164" spans="1:35" ht="34.200000000000003" x14ac:dyDescent="0.25">
      <c r="A164" s="85" t="s">
        <v>95</v>
      </c>
      <c r="B164" s="84"/>
      <c r="C164" s="84"/>
      <c r="D164" s="84"/>
      <c r="E164" s="84"/>
      <c r="F164" s="84"/>
      <c r="G164" s="84"/>
      <c r="H164" s="84"/>
      <c r="I164" s="68">
        <v>29685</v>
      </c>
      <c r="J164" s="66">
        <v>252</v>
      </c>
      <c r="K164" s="66" t="s">
        <v>631</v>
      </c>
      <c r="L164" s="66">
        <v>29321</v>
      </c>
      <c r="M164" s="66"/>
      <c r="N164" s="66" t="s">
        <v>632</v>
      </c>
      <c r="O164" s="9"/>
      <c r="P164" s="10"/>
      <c r="Q164" s="9"/>
      <c r="R164" s="9"/>
      <c r="S164" s="9"/>
    </row>
    <row r="165" spans="1:35" ht="34.200000000000003" x14ac:dyDescent="0.25">
      <c r="A165" s="85" t="s">
        <v>98</v>
      </c>
      <c r="B165" s="84"/>
      <c r="C165" s="84"/>
      <c r="D165" s="84"/>
      <c r="E165" s="84"/>
      <c r="F165" s="84"/>
      <c r="G165" s="84"/>
      <c r="H165" s="84"/>
      <c r="I165" s="68">
        <v>167908</v>
      </c>
      <c r="J165" s="66">
        <v>4259</v>
      </c>
      <c r="K165" s="66" t="s">
        <v>633</v>
      </c>
      <c r="L165" s="66">
        <v>162646</v>
      </c>
      <c r="M165" s="66"/>
      <c r="N165" s="66" t="s">
        <v>632</v>
      </c>
      <c r="O165" s="9"/>
      <c r="P165" s="10"/>
      <c r="Q165" s="9"/>
      <c r="R165" s="9"/>
      <c r="S165" s="9"/>
    </row>
    <row r="166" spans="1:35" x14ac:dyDescent="0.25">
      <c r="A166" s="85" t="s">
        <v>100</v>
      </c>
      <c r="B166" s="84"/>
      <c r="C166" s="84"/>
      <c r="D166" s="84"/>
      <c r="E166" s="84"/>
      <c r="F166" s="84"/>
      <c r="G166" s="84"/>
      <c r="H166" s="84"/>
      <c r="I166" s="68">
        <v>3503</v>
      </c>
      <c r="J166" s="66"/>
      <c r="K166" s="66"/>
      <c r="L166" s="66"/>
      <c r="M166" s="66"/>
      <c r="N166" s="66"/>
      <c r="O166" s="9"/>
      <c r="P166" s="10"/>
      <c r="Q166" s="9"/>
      <c r="R166" s="9"/>
      <c r="S166" s="9"/>
    </row>
    <row r="167" spans="1:35" x14ac:dyDescent="0.25">
      <c r="A167" s="85" t="s">
        <v>101</v>
      </c>
      <c r="B167" s="84"/>
      <c r="C167" s="84"/>
      <c r="D167" s="84"/>
      <c r="E167" s="84"/>
      <c r="F167" s="84"/>
      <c r="G167" s="84"/>
      <c r="H167" s="84"/>
      <c r="I167" s="68">
        <v>2199</v>
      </c>
      <c r="J167" s="66"/>
      <c r="K167" s="66"/>
      <c r="L167" s="66"/>
      <c r="M167" s="66"/>
      <c r="N167" s="66"/>
      <c r="O167" s="9"/>
      <c r="P167" s="10"/>
      <c r="Q167" s="9"/>
      <c r="R167" s="9"/>
      <c r="S167" s="9"/>
    </row>
    <row r="168" spans="1:35" ht="34.200000000000003" x14ac:dyDescent="0.25">
      <c r="A168" s="86" t="s">
        <v>634</v>
      </c>
      <c r="B168" s="87"/>
      <c r="C168" s="87"/>
      <c r="D168" s="87"/>
      <c r="E168" s="87"/>
      <c r="F168" s="87"/>
      <c r="G168" s="87"/>
      <c r="H168" s="87"/>
      <c r="I168" s="78">
        <v>173610</v>
      </c>
      <c r="J168" s="76"/>
      <c r="K168" s="76"/>
      <c r="L168" s="76"/>
      <c r="M168" s="76"/>
      <c r="N168" s="76" t="s">
        <v>632</v>
      </c>
      <c r="O168" s="9"/>
      <c r="P168" s="10"/>
      <c r="Q168" s="9"/>
      <c r="R168" s="9"/>
      <c r="S168" s="9"/>
    </row>
    <row r="169" spans="1:35" ht="34.200000000000003" x14ac:dyDescent="0.25">
      <c r="A169" s="83" t="s">
        <v>635</v>
      </c>
      <c r="B169" s="84"/>
      <c r="C169" s="84"/>
      <c r="D169" s="84"/>
      <c r="E169" s="84"/>
      <c r="F169" s="84"/>
      <c r="G169" s="84"/>
      <c r="H169" s="84"/>
      <c r="I169" s="80">
        <v>751921</v>
      </c>
      <c r="J169" s="80">
        <v>58274</v>
      </c>
      <c r="K169" s="80" t="s">
        <v>636</v>
      </c>
      <c r="L169" s="80">
        <v>668042</v>
      </c>
      <c r="M169" s="80"/>
      <c r="N169" s="80" t="s">
        <v>637</v>
      </c>
      <c r="O169" s="9"/>
      <c r="P169" s="10"/>
      <c r="Q169" s="9"/>
      <c r="R169" s="9"/>
      <c r="S169" s="9"/>
    </row>
    <row r="170" spans="1:35" ht="34.200000000000003" x14ac:dyDescent="0.25">
      <c r="A170" s="83" t="s">
        <v>638</v>
      </c>
      <c r="B170" s="84"/>
      <c r="C170" s="84"/>
      <c r="D170" s="84"/>
      <c r="E170" s="84"/>
      <c r="F170" s="84"/>
      <c r="G170" s="84"/>
      <c r="H170" s="84"/>
      <c r="I170" s="80">
        <v>4501260</v>
      </c>
      <c r="J170" s="80">
        <v>984833</v>
      </c>
      <c r="K170" s="80" t="s">
        <v>639</v>
      </c>
      <c r="L170" s="80">
        <v>3249255</v>
      </c>
      <c r="M170" s="80"/>
      <c r="N170" s="80" t="s">
        <v>637</v>
      </c>
      <c r="O170" s="9"/>
      <c r="P170" s="10"/>
      <c r="Q170" s="9"/>
      <c r="R170" s="9"/>
      <c r="S170" s="9"/>
    </row>
    <row r="171" spans="1:35" x14ac:dyDescent="0.25">
      <c r="A171" s="83" t="s">
        <v>100</v>
      </c>
      <c r="B171" s="84"/>
      <c r="C171" s="84"/>
      <c r="D171" s="84"/>
      <c r="E171" s="84"/>
      <c r="F171" s="84"/>
      <c r="G171" s="84"/>
      <c r="H171" s="84"/>
      <c r="I171" s="80">
        <v>836222</v>
      </c>
      <c r="J171" s="80"/>
      <c r="K171" s="80"/>
      <c r="L171" s="80"/>
      <c r="M171" s="80"/>
      <c r="N171" s="80"/>
      <c r="O171" s="9"/>
      <c r="P171" s="10"/>
      <c r="Q171" s="9"/>
      <c r="R171" s="9"/>
      <c r="S171" s="9"/>
    </row>
    <row r="172" spans="1:35" x14ac:dyDescent="0.25">
      <c r="A172" s="83" t="s">
        <v>101</v>
      </c>
      <c r="B172" s="84"/>
      <c r="C172" s="84"/>
      <c r="D172" s="84"/>
      <c r="E172" s="84"/>
      <c r="F172" s="84"/>
      <c r="G172" s="84"/>
      <c r="H172" s="84"/>
      <c r="I172" s="80">
        <v>466538</v>
      </c>
      <c r="J172" s="80"/>
      <c r="K172" s="80"/>
      <c r="L172" s="80"/>
      <c r="M172" s="80"/>
      <c r="N172" s="80"/>
      <c r="O172" s="9"/>
      <c r="P172" s="10"/>
      <c r="Q172" s="9"/>
      <c r="R172" s="9"/>
      <c r="S172" s="9"/>
    </row>
    <row r="173" spans="1:35" x14ac:dyDescent="0.25">
      <c r="A173" s="81" t="s">
        <v>640</v>
      </c>
      <c r="B173" s="82"/>
      <c r="C173" s="82"/>
      <c r="D173" s="82"/>
      <c r="E173" s="82"/>
      <c r="F173" s="82"/>
      <c r="G173" s="82"/>
      <c r="H173" s="82"/>
      <c r="I173" s="80"/>
      <c r="J173" s="80"/>
      <c r="K173" s="80"/>
      <c r="L173" s="80"/>
      <c r="M173" s="80"/>
      <c r="N173" s="80"/>
      <c r="O173" s="9"/>
      <c r="P173" s="10"/>
      <c r="Q173" s="9"/>
      <c r="R173" s="9"/>
      <c r="S173" s="9"/>
    </row>
    <row r="174" spans="1:35" ht="34.200000000000003" x14ac:dyDescent="0.25">
      <c r="A174" s="83" t="s">
        <v>641</v>
      </c>
      <c r="B174" s="84"/>
      <c r="C174" s="84"/>
      <c r="D174" s="84"/>
      <c r="E174" s="84"/>
      <c r="F174" s="84"/>
      <c r="G174" s="84"/>
      <c r="H174" s="84"/>
      <c r="I174" s="80">
        <v>385847</v>
      </c>
      <c r="J174" s="80"/>
      <c r="K174" s="80"/>
      <c r="L174" s="80"/>
      <c r="M174" s="80"/>
      <c r="N174" s="80" t="s">
        <v>97</v>
      </c>
      <c r="O174" s="9"/>
      <c r="P174" s="10"/>
      <c r="Q174" s="9"/>
      <c r="R174" s="9"/>
      <c r="S174" s="9"/>
    </row>
    <row r="175" spans="1:35" ht="34.200000000000003" x14ac:dyDescent="0.25">
      <c r="A175" s="83" t="s">
        <v>642</v>
      </c>
      <c r="B175" s="84"/>
      <c r="C175" s="84"/>
      <c r="D175" s="84"/>
      <c r="E175" s="84"/>
      <c r="F175" s="84"/>
      <c r="G175" s="84"/>
      <c r="H175" s="84"/>
      <c r="I175" s="80">
        <v>212487</v>
      </c>
      <c r="J175" s="80"/>
      <c r="K175" s="80"/>
      <c r="L175" s="80"/>
      <c r="M175" s="80"/>
      <c r="N175" s="80" t="s">
        <v>171</v>
      </c>
      <c r="O175" s="9"/>
      <c r="P175" s="10"/>
      <c r="Q175" s="9"/>
      <c r="R175" s="9"/>
      <c r="S175" s="9"/>
    </row>
    <row r="176" spans="1:35" ht="34.200000000000003" x14ac:dyDescent="0.25">
      <c r="A176" s="83" t="s">
        <v>643</v>
      </c>
      <c r="B176" s="84"/>
      <c r="C176" s="84"/>
      <c r="D176" s="84"/>
      <c r="E176" s="84"/>
      <c r="F176" s="84"/>
      <c r="G176" s="84"/>
      <c r="H176" s="84"/>
      <c r="I176" s="80">
        <v>5032076</v>
      </c>
      <c r="J176" s="80"/>
      <c r="K176" s="80"/>
      <c r="L176" s="80"/>
      <c r="M176" s="80"/>
      <c r="N176" s="80" t="s">
        <v>522</v>
      </c>
      <c r="O176" s="9"/>
      <c r="P176" s="10"/>
      <c r="Q176" s="9"/>
      <c r="R176" s="9"/>
      <c r="S176" s="9"/>
    </row>
    <row r="177" spans="1:19" ht="34.200000000000003" x14ac:dyDescent="0.25">
      <c r="A177" s="83" t="s">
        <v>644</v>
      </c>
      <c r="B177" s="84"/>
      <c r="C177" s="84"/>
      <c r="D177" s="84"/>
      <c r="E177" s="84"/>
      <c r="F177" s="84"/>
      <c r="G177" s="84"/>
      <c r="H177" s="84"/>
      <c r="I177" s="80">
        <v>173610</v>
      </c>
      <c r="J177" s="80"/>
      <c r="K177" s="80"/>
      <c r="L177" s="80"/>
      <c r="M177" s="80"/>
      <c r="N177" s="80" t="s">
        <v>632</v>
      </c>
      <c r="O177" s="9"/>
      <c r="P177" s="10"/>
      <c r="Q177" s="9"/>
      <c r="R177" s="9"/>
      <c r="S177" s="9"/>
    </row>
    <row r="178" spans="1:19" ht="34.200000000000003" x14ac:dyDescent="0.25">
      <c r="A178" s="83" t="s">
        <v>645</v>
      </c>
      <c r="B178" s="84"/>
      <c r="C178" s="84"/>
      <c r="D178" s="84"/>
      <c r="E178" s="84"/>
      <c r="F178" s="84"/>
      <c r="G178" s="84"/>
      <c r="H178" s="84"/>
      <c r="I178" s="80">
        <v>5804020</v>
      </c>
      <c r="J178" s="80"/>
      <c r="K178" s="80"/>
      <c r="L178" s="80"/>
      <c r="M178" s="80"/>
      <c r="N178" s="80" t="s">
        <v>637</v>
      </c>
      <c r="O178" s="9"/>
      <c r="P178" s="10"/>
      <c r="Q178" s="9"/>
      <c r="R178" s="9"/>
      <c r="S178" s="9"/>
    </row>
    <row r="179" spans="1:19" x14ac:dyDescent="0.25">
      <c r="A179" s="83" t="s">
        <v>646</v>
      </c>
      <c r="B179" s="84"/>
      <c r="C179" s="84"/>
      <c r="D179" s="84"/>
      <c r="E179" s="84"/>
      <c r="F179" s="84"/>
      <c r="G179" s="84"/>
      <c r="H179" s="84"/>
      <c r="I179" s="80"/>
      <c r="J179" s="80"/>
      <c r="K179" s="80"/>
      <c r="L179" s="80"/>
      <c r="M179" s="80"/>
      <c r="N179" s="80"/>
      <c r="O179" s="9"/>
      <c r="P179" s="10"/>
      <c r="Q179" s="9"/>
      <c r="R179" s="9"/>
      <c r="S179" s="9"/>
    </row>
    <row r="180" spans="1:19" x14ac:dyDescent="0.25">
      <c r="A180" s="83" t="s">
        <v>647</v>
      </c>
      <c r="B180" s="84"/>
      <c r="C180" s="84"/>
      <c r="D180" s="84"/>
      <c r="E180" s="84"/>
      <c r="F180" s="84"/>
      <c r="G180" s="84"/>
      <c r="H180" s="84"/>
      <c r="I180" s="80">
        <v>3249255</v>
      </c>
      <c r="J180" s="80"/>
      <c r="K180" s="80"/>
      <c r="L180" s="80"/>
      <c r="M180" s="80"/>
      <c r="N180" s="80"/>
      <c r="O180" s="9"/>
      <c r="P180" s="10"/>
      <c r="Q180" s="9"/>
      <c r="R180" s="9"/>
      <c r="S180" s="9"/>
    </row>
    <row r="181" spans="1:19" x14ac:dyDescent="0.25">
      <c r="A181" s="83" t="s">
        <v>648</v>
      </c>
      <c r="B181" s="84"/>
      <c r="C181" s="84"/>
      <c r="D181" s="84"/>
      <c r="E181" s="84"/>
      <c r="F181" s="84"/>
      <c r="G181" s="84"/>
      <c r="H181" s="84"/>
      <c r="I181" s="80">
        <v>267172</v>
      </c>
      <c r="J181" s="80"/>
      <c r="K181" s="80"/>
      <c r="L181" s="80"/>
      <c r="M181" s="80"/>
      <c r="N181" s="80"/>
      <c r="O181" s="9"/>
      <c r="P181" s="10"/>
      <c r="Q181" s="9"/>
      <c r="R181" s="9"/>
      <c r="S181" s="9"/>
    </row>
    <row r="182" spans="1:19" x14ac:dyDescent="0.25">
      <c r="A182" s="83" t="s">
        <v>649</v>
      </c>
      <c r="B182" s="84"/>
      <c r="C182" s="84"/>
      <c r="D182" s="84"/>
      <c r="E182" s="84"/>
      <c r="F182" s="84"/>
      <c r="G182" s="84"/>
      <c r="H182" s="84"/>
      <c r="I182" s="80">
        <v>1009392</v>
      </c>
      <c r="J182" s="80"/>
      <c r="K182" s="80"/>
      <c r="L182" s="80"/>
      <c r="M182" s="80"/>
      <c r="N182" s="80"/>
      <c r="O182" s="9"/>
      <c r="P182" s="10"/>
      <c r="Q182" s="9"/>
      <c r="R182" s="9"/>
      <c r="S182" s="9"/>
    </row>
    <row r="183" spans="1:19" x14ac:dyDescent="0.25">
      <c r="A183" s="83" t="s">
        <v>650</v>
      </c>
      <c r="B183" s="84"/>
      <c r="C183" s="84"/>
      <c r="D183" s="84"/>
      <c r="E183" s="84"/>
      <c r="F183" s="84"/>
      <c r="G183" s="84"/>
      <c r="H183" s="84"/>
      <c r="I183" s="80">
        <v>836222</v>
      </c>
      <c r="J183" s="80"/>
      <c r="K183" s="80"/>
      <c r="L183" s="80"/>
      <c r="M183" s="80"/>
      <c r="N183" s="80"/>
      <c r="O183" s="9"/>
      <c r="P183" s="10"/>
      <c r="Q183" s="9"/>
      <c r="R183" s="9"/>
      <c r="S183" s="9"/>
    </row>
    <row r="184" spans="1:19" x14ac:dyDescent="0.25">
      <c r="A184" s="83" t="s">
        <v>651</v>
      </c>
      <c r="B184" s="84"/>
      <c r="C184" s="84"/>
      <c r="D184" s="84"/>
      <c r="E184" s="84"/>
      <c r="F184" s="84"/>
      <c r="G184" s="84"/>
      <c r="H184" s="84"/>
      <c r="I184" s="80">
        <v>466538</v>
      </c>
      <c r="J184" s="80"/>
      <c r="K184" s="80"/>
      <c r="L184" s="80"/>
      <c r="M184" s="80"/>
      <c r="N184" s="80"/>
      <c r="O184" s="9"/>
      <c r="P184" s="10"/>
      <c r="Q184" s="9"/>
      <c r="R184" s="9"/>
      <c r="S184" s="9"/>
    </row>
    <row r="185" spans="1:19" ht="34.200000000000003" x14ac:dyDescent="0.25">
      <c r="A185" s="81" t="s">
        <v>652</v>
      </c>
      <c r="B185" s="82"/>
      <c r="C185" s="82"/>
      <c r="D185" s="82"/>
      <c r="E185" s="82"/>
      <c r="F185" s="82"/>
      <c r="G185" s="82"/>
      <c r="H185" s="82"/>
      <c r="I185" s="80">
        <v>5804020</v>
      </c>
      <c r="J185" s="80"/>
      <c r="K185" s="80"/>
      <c r="L185" s="80"/>
      <c r="M185" s="80"/>
      <c r="N185" s="80" t="s">
        <v>637</v>
      </c>
      <c r="O185" s="9"/>
      <c r="P185" s="10"/>
      <c r="Q185" s="9"/>
      <c r="R185" s="9"/>
      <c r="S185" s="9"/>
    </row>
    <row r="186" spans="1:19" x14ac:dyDescent="0.25">
      <c r="A186" s="38"/>
      <c r="B186" s="41"/>
      <c r="C186" s="41"/>
      <c r="D186" s="38"/>
      <c r="E186" s="39"/>
      <c r="F186" s="39"/>
      <c r="G186" s="39"/>
      <c r="H186" s="39"/>
      <c r="I186" s="40"/>
      <c r="J186" s="39"/>
      <c r="K186" s="39"/>
      <c r="L186" s="39"/>
      <c r="M186" s="39"/>
      <c r="N186" s="42"/>
      <c r="O186" s="7"/>
      <c r="P186" s="7"/>
      <c r="Q186" s="7"/>
      <c r="R186" s="7"/>
      <c r="S186" s="7"/>
    </row>
    <row r="187" spans="1:19" x14ac:dyDescent="0.25">
      <c r="A187" s="38"/>
      <c r="B187" s="41"/>
      <c r="C187" s="41"/>
      <c r="D187" s="38"/>
      <c r="E187" s="39"/>
      <c r="F187" s="39"/>
      <c r="G187" s="39"/>
      <c r="H187" s="39"/>
      <c r="I187" s="40"/>
      <c r="J187" s="39"/>
      <c r="K187" s="39"/>
      <c r="L187" s="39"/>
      <c r="M187" s="39"/>
      <c r="N187" s="42"/>
    </row>
    <row r="188" spans="1:19" x14ac:dyDescent="0.25">
      <c r="A188" s="38"/>
      <c r="B188" s="41"/>
      <c r="C188" s="43" t="s">
        <v>658</v>
      </c>
      <c r="D188" s="38"/>
      <c r="E188" s="39"/>
      <c r="F188" s="43" t="s">
        <v>27</v>
      </c>
      <c r="G188" s="43"/>
      <c r="H188" s="43"/>
      <c r="I188" s="39"/>
      <c r="J188" s="39"/>
      <c r="K188" s="39"/>
      <c r="L188" s="39"/>
      <c r="M188" s="39"/>
      <c r="N188" s="42"/>
    </row>
    <row r="189" spans="1:19" x14ac:dyDescent="0.25">
      <c r="A189" s="44"/>
      <c r="B189" s="44"/>
      <c r="C189" s="44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2"/>
    </row>
    <row r="190" spans="1:19" x14ac:dyDescent="0.25">
      <c r="A190" s="44"/>
      <c r="B190" s="44"/>
      <c r="C190" s="44"/>
      <c r="D190" s="44"/>
      <c r="E190" s="45"/>
      <c r="F190" s="45"/>
      <c r="G190" s="45"/>
      <c r="H190" s="45"/>
      <c r="I190" s="45"/>
      <c r="J190" s="45"/>
      <c r="K190" s="45"/>
      <c r="L190" s="45"/>
      <c r="M190" s="45"/>
      <c r="N190" s="42"/>
    </row>
    <row r="192" spans="1:19" x14ac:dyDescent="0.25">
      <c r="B192" s="6"/>
    </row>
  </sheetData>
  <mergeCells count="69">
    <mergeCell ref="I14:L15"/>
    <mergeCell ref="M16:M17"/>
    <mergeCell ref="H14:H17"/>
    <mergeCell ref="I16:I17"/>
    <mergeCell ref="H12:N12"/>
    <mergeCell ref="A34:H34"/>
    <mergeCell ref="A4:C4"/>
    <mergeCell ref="I4:N4"/>
    <mergeCell ref="J16:J17"/>
    <mergeCell ref="L16:L17"/>
    <mergeCell ref="N16:N17"/>
    <mergeCell ref="A14:A17"/>
    <mergeCell ref="D14:D17"/>
    <mergeCell ref="C14:C17"/>
    <mergeCell ref="B14:B17"/>
    <mergeCell ref="A10:N10"/>
    <mergeCell ref="C11:E11"/>
    <mergeCell ref="D12:E12"/>
    <mergeCell ref="G16:G17"/>
    <mergeCell ref="M14:N15"/>
    <mergeCell ref="E14:G15"/>
    <mergeCell ref="A19:AI19"/>
    <mergeCell ref="A30:H30"/>
    <mergeCell ref="A31:H31"/>
    <mergeCell ref="A32:H32"/>
    <mergeCell ref="A33:H33"/>
    <mergeCell ref="A97:AI97"/>
    <mergeCell ref="A35:AI35"/>
    <mergeCell ref="A49:H49"/>
    <mergeCell ref="A50:H50"/>
    <mergeCell ref="A51:H51"/>
    <mergeCell ref="A52:H52"/>
    <mergeCell ref="A53:H53"/>
    <mergeCell ref="A54:AI54"/>
    <mergeCell ref="A55:AI55"/>
    <mergeCell ref="A60:AI60"/>
    <mergeCell ref="A66:AI66"/>
    <mergeCell ref="A90:AI90"/>
    <mergeCell ref="A166:H166"/>
    <mergeCell ref="A111:AI111"/>
    <mergeCell ref="A124:AI124"/>
    <mergeCell ref="A131:H131"/>
    <mergeCell ref="A132:H132"/>
    <mergeCell ref="A133:H133"/>
    <mergeCell ref="A134:H134"/>
    <mergeCell ref="A135:H135"/>
    <mergeCell ref="A136:AI136"/>
    <mergeCell ref="A145:AI145"/>
    <mergeCell ref="A164:H164"/>
    <mergeCell ref="A165:H165"/>
    <mergeCell ref="A178:H178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85:H185"/>
    <mergeCell ref="A179:H179"/>
    <mergeCell ref="A180:H180"/>
    <mergeCell ref="A181:H181"/>
    <mergeCell ref="A182:H182"/>
    <mergeCell ref="A183:H183"/>
    <mergeCell ref="A184:H184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71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Сафьянова Любовь Александровна</cp:lastModifiedBy>
  <cp:lastPrinted>2011-11-18T07:56:05Z</cp:lastPrinted>
  <dcterms:created xsi:type="dcterms:W3CDTF">2003-01-28T12:33:10Z</dcterms:created>
  <dcterms:modified xsi:type="dcterms:W3CDTF">2016-09-29T02:32:42Z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