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22.07.2016\ЛОТ №2\Моряковский затон, ремесленный, 1\"/>
    </mc:Choice>
  </mc:AlternateContent>
  <bookViews>
    <workbookView xWindow="0" yWindow="60" windowWidth="7500" windowHeight="4248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'Лок.См.Расч.Баз.-Инд.Методом'!$A$1:$N$178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154" i="5" l="1"/>
  <c r="AI154" i="5"/>
  <c r="L155" i="5"/>
  <c r="AI155" i="5"/>
  <c r="L156" i="5"/>
  <c r="AI156" i="5"/>
  <c r="L128" i="5"/>
  <c r="AI128" i="5"/>
  <c r="L129" i="5"/>
  <c r="AI129" i="5"/>
  <c r="L130" i="5"/>
  <c r="AI130" i="5"/>
  <c r="L131" i="5"/>
  <c r="AI131" i="5"/>
  <c r="L132" i="5"/>
  <c r="AI132" i="5"/>
  <c r="L133" i="5"/>
  <c r="AI133" i="5"/>
  <c r="L134" i="5"/>
  <c r="AI134" i="5"/>
  <c r="L135" i="5"/>
  <c r="AI135" i="5"/>
  <c r="L136" i="5"/>
  <c r="AI136" i="5"/>
  <c r="L137" i="5"/>
  <c r="AI137" i="5"/>
  <c r="L138" i="5"/>
  <c r="AI138" i="5"/>
  <c r="L139" i="5"/>
  <c r="AI139" i="5"/>
  <c r="L140" i="5"/>
  <c r="AI140" i="5"/>
  <c r="L141" i="5"/>
  <c r="AI141" i="5"/>
  <c r="L142" i="5"/>
  <c r="AI142" i="5"/>
  <c r="L143" i="5"/>
  <c r="AI143" i="5"/>
  <c r="L144" i="5"/>
  <c r="AI144" i="5"/>
  <c r="L74" i="5"/>
  <c r="AI74" i="5"/>
  <c r="L75" i="5"/>
  <c r="AI75" i="5"/>
  <c r="L76" i="5"/>
  <c r="AI76" i="5"/>
  <c r="L77" i="5"/>
  <c r="AI77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0" i="5"/>
  <c r="AI90" i="5"/>
  <c r="L91" i="5"/>
  <c r="AI91" i="5"/>
  <c r="L92" i="5"/>
  <c r="AI92" i="5"/>
  <c r="L93" i="5"/>
  <c r="AI93" i="5"/>
  <c r="L94" i="5"/>
  <c r="AI94" i="5"/>
  <c r="L95" i="5"/>
  <c r="AI95" i="5"/>
  <c r="L96" i="5"/>
  <c r="AI96" i="5"/>
  <c r="L97" i="5"/>
  <c r="AI97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1" i="5"/>
  <c r="AI111" i="5"/>
  <c r="L112" i="5"/>
  <c r="AI112" i="5"/>
  <c r="L113" i="5"/>
  <c r="AI113" i="5"/>
  <c r="L114" i="5"/>
  <c r="AI114" i="5"/>
  <c r="L115" i="5"/>
  <c r="AI115" i="5"/>
  <c r="L116" i="5"/>
  <c r="AI116" i="5"/>
  <c r="L117" i="5"/>
  <c r="AI117" i="5"/>
  <c r="L118" i="5"/>
  <c r="AI118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59" i="5"/>
  <c r="AI59" i="5"/>
  <c r="L60" i="5"/>
  <c r="AI60" i="5"/>
  <c r="L61" i="5"/>
  <c r="AI61" i="5"/>
  <c r="L62" i="5"/>
  <c r="AI62" i="5"/>
  <c r="L63" i="5"/>
  <c r="AI63" i="5"/>
  <c r="L64" i="5"/>
  <c r="AI64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L31" i="5"/>
  <c r="AI31" i="5"/>
  <c r="L32" i="5"/>
  <c r="AI32" i="5"/>
  <c r="L33" i="5"/>
  <c r="AI33" i="5"/>
  <c r="C27" i="5"/>
  <c r="C140" i="5"/>
  <c r="C92" i="5"/>
  <c r="C80" i="5"/>
  <c r="C64" i="5"/>
  <c r="C55" i="5"/>
  <c r="C57" i="5"/>
  <c r="C138" i="5"/>
  <c r="C62" i="5"/>
  <c r="C90" i="5"/>
  <c r="C87" i="5"/>
  <c r="C113" i="5"/>
  <c r="C141" i="5"/>
  <c r="C86" i="5"/>
  <c r="C85" i="5"/>
  <c r="C45" i="5"/>
  <c r="C112" i="5"/>
  <c r="C128" i="5"/>
  <c r="C139" i="5"/>
  <c r="C75" i="5"/>
  <c r="C99" i="5"/>
  <c r="C106" i="5"/>
  <c r="C110" i="5"/>
  <c r="C103" i="5"/>
  <c r="C50" i="5"/>
  <c r="C94" i="5"/>
  <c r="C31" i="5"/>
  <c r="C101" i="5"/>
  <c r="C33" i="5"/>
  <c r="C22" i="5"/>
  <c r="C144" i="5"/>
  <c r="C100" i="5"/>
  <c r="C107" i="5"/>
  <c r="C44" i="5"/>
  <c r="C63" i="5"/>
  <c r="C59" i="5"/>
  <c r="C40" i="5"/>
  <c r="C28" i="5"/>
  <c r="C51" i="5"/>
  <c r="C88" i="5"/>
  <c r="C117" i="5"/>
  <c r="C137" i="5"/>
  <c r="C134" i="5"/>
  <c r="C89" i="5"/>
  <c r="C23" i="5"/>
  <c r="C21" i="5"/>
  <c r="C132" i="5"/>
  <c r="C76" i="5"/>
  <c r="C135" i="5"/>
  <c r="C56" i="5"/>
  <c r="C118" i="5"/>
  <c r="C104" i="5"/>
  <c r="C54" i="5"/>
  <c r="C82" i="5"/>
  <c r="C79" i="5"/>
  <c r="C105" i="5"/>
  <c r="C133" i="5"/>
  <c r="C53" i="5"/>
  <c r="C77" i="5"/>
  <c r="C108" i="5"/>
  <c r="C96" i="5"/>
  <c r="C26" i="5"/>
  <c r="C25" i="5"/>
  <c r="C130" i="5"/>
  <c r="C83" i="5"/>
  <c r="C24" i="5"/>
  <c r="C98" i="5"/>
  <c r="C95" i="5"/>
  <c r="C42" i="5"/>
  <c r="C78" i="5"/>
  <c r="C102" i="5"/>
  <c r="C93" i="5"/>
  <c r="C61" i="5"/>
  <c r="C49" i="5"/>
  <c r="C136" i="5"/>
  <c r="C84" i="5"/>
  <c r="C91" i="5"/>
  <c r="C115" i="5"/>
  <c r="C47" i="5"/>
  <c r="C43" i="5"/>
  <c r="C111" i="5"/>
  <c r="C58" i="5"/>
  <c r="C114" i="5"/>
  <c r="C143" i="5"/>
  <c r="C109" i="5"/>
  <c r="C129" i="5"/>
  <c r="C155" i="5"/>
  <c r="C81" i="5"/>
  <c r="C116" i="5"/>
  <c r="C52" i="5"/>
  <c r="C60" i="5"/>
  <c r="C131" i="5"/>
  <c r="C30" i="5"/>
  <c r="C48" i="5"/>
  <c r="C29" i="5"/>
  <c r="C156" i="5"/>
  <c r="C41" i="5"/>
  <c r="C46" i="5"/>
  <c r="C74" i="5"/>
  <c r="C142" i="5"/>
  <c r="C97" i="5"/>
  <c r="C154" i="5"/>
  <c r="C32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16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16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16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16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160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160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7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17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<sst xmlns="http://schemas.openxmlformats.org/spreadsheetml/2006/main" count="830" uniqueCount="544">
  <si>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</si>
  <si>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</si>
  <si>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</si>
  <si>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</si>
  <si>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</si>
  <si>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</si>
  <si>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</si>
  <si>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</si>
  <si>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</si>
  <si>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</si>
  <si>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</si>
  <si>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</si>
  <si>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</si>
  <si>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</si>
  <si>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</si>
  <si>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</si>
  <si>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</si>
  <si>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</si>
  <si>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</si>
  <si>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</si>
  <si>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</si>
  <si>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</si>
  <si>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</si>
  <si>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10"/>
        <rFont val="Times New Roman"/>
        <family val="1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</si>
  <si>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"/>
        <rFont val="Times New Roman"/>
        <family val="1"/>
        <charset val="204"/>
      </rPr>
      <t>(в текущем уровне цен)</t>
    </r>
  </si>
  <si>
    <t>Капитальный ремонт многоквартирного дома по адресу: Томская область, Томский район, с. Моряковский Затон, пер. Ремесленный, д.1</t>
  </si>
  <si>
    <t xml:space="preserve">
ИНН/КПП /</t>
  </si>
  <si>
    <t>ЛОКАЛЬНЫЙ СМЕТНЫЙ РАСЧЕТ №  02-01-01</t>
  </si>
  <si>
    <t>Основание:  проект П-16-118-АС</t>
  </si>
  <si>
    <t>Проверил:____________________________</t>
  </si>
  <si>
    <t>Раздел 1. Демонтажные работы</t>
  </si>
  <si>
    <t>ФЕР46-04-008-04</t>
  </si>
  <si>
    <t>154,66
124,02</t>
  </si>
  <si>
    <t>46.73 Разборка покрытий кровель: ОЗП=15,9; ЭМ=3,01; ЗПМ=15,9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</si>
  <si>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</si>
  <si>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</si>
  <si>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 432*0,014=6,05 т</t>
  </si>
  <si>
    <t>100 м2 покрытия</t>
  </si>
  <si>
    <t>ФЕРр58-3-1</t>
  </si>
  <si>
    <t>71,18
70,98</t>
  </si>
  <si>
    <t>84.3 Разборка мелких покрытий и обделок из листовой стали: ОЗП=15,9; ЭМ=4,8; ЗПМ=15,9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</si>
  <si>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</si>
  <si>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</si>
  <si>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</si>
  <si>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</si>
  <si>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ФЕРр54-3-1
прим</t>
  </si>
  <si>
    <t>243,27
218,26</t>
  </si>
  <si>
    <t>25,01
10,8</t>
  </si>
  <si>
    <t>80.3 Разборка подшивки потолков: ОЗП=15,9; ЭМ=7,03; ЗПМ=15,9</t>
  </si>
  <si>
    <t>162
159</t>
  </si>
  <si>
    <t>28,87
0,8</t>
  </si>
  <si>
    <t>26,85
0,74</t>
  </si>
  <si>
    <t>НР 72%=85%*0,85 от ФОТ</t>
  </si>
  <si>
    <t>СП 64%=80%*0,8 от ФОТ</t>
  </si>
  <si>
    <t>Разборка подшивки потолков: чистой из строганных досок</t>
  </si>
  <si>
    <t>100 м2 подшивки</t>
  </si>
  <si>
    <t>ФЕРр58-1-1</t>
  </si>
  <si>
    <t>160,11
120,37</t>
  </si>
  <si>
    <t>39,74
6,21</t>
  </si>
  <si>
    <t>84.1 Разборка деревянных элементов конструкций крыш: ОЗП=15,9; ЭМ=12,03; ЗПМ=15,9</t>
  </si>
  <si>
    <t>2069
429</t>
  </si>
  <si>
    <t>15,16
0,46</t>
  </si>
  <si>
    <t>65,49
1,99</t>
  </si>
  <si>
    <t>Разборка деревянных элементов конструкций крыш: обрешетки из брусков с прозорами</t>
  </si>
  <si>
    <t>100 м2 кровли</t>
  </si>
  <si>
    <t>ФЕР46-04-007-04</t>
  </si>
  <si>
    <t>610,82
417,44</t>
  </si>
  <si>
    <t>193,38
82,89</t>
  </si>
  <si>
    <t>46.71 Разборка деревянных перекрытий, деревянных прогонов, защитного и рабочего настила покрытия: ОЗП=15,9; ЭМ=7,02; ЗПМ=15,9</t>
  </si>
  <si>
    <t>5862
5692</t>
  </si>
  <si>
    <t>51,6
6,14</t>
  </si>
  <si>
    <t>222,91
26,52</t>
  </si>
  <si>
    <t>Разборка деревянных прогонов, защитного и рабочего настила покрытия</t>
  </si>
  <si>
    <t>100 м2</t>
  </si>
  <si>
    <t>ФЕРр58-2-1</t>
  </si>
  <si>
    <t>2720,29
2709,92</t>
  </si>
  <si>
    <t>84.2 Разборка слуховых окон: ОЗП=15,9; ЭМ=4,68; ЗПМ=15,9</t>
  </si>
  <si>
    <t>Разборка слуховых окон: прямоугольных двускатных</t>
  </si>
  <si>
    <t>100 окон</t>
  </si>
  <si>
    <t>ФЕРр58-1-2
30% от площади кровли</t>
  </si>
  <si>
    <t>208,54
183,48</t>
  </si>
  <si>
    <t>25,06
3,92</t>
  </si>
  <si>
    <t>192
48</t>
  </si>
  <si>
    <t>22,68
0,29</t>
  </si>
  <si>
    <t>14,74
0,19</t>
  </si>
  <si>
    <t>Разборка деревянных элементов конструкций крыш: стропил со стойками и подкосами из досок</t>
  </si>
  <si>
    <t>ФЕР10-01-039-05
ОЗП=0,8
ЭМ=0,8
ЗПМ=0,8
МАТ=0
ТЗ=0,8
ТЗМ=0,8</t>
  </si>
  <si>
    <t>1627,62
823,46</t>
  </si>
  <si>
    <t>804,16
104,66</t>
  </si>
  <si>
    <t>10.95. Установка люков в перекрытиях: ОЗП=15,9; ЭМ=11,91; ЗПМ=15,9; МАТ=5,87</t>
  </si>
  <si>
    <t>95
16</t>
  </si>
  <si>
    <t>97,336
7,752</t>
  </si>
  <si>
    <t>0,97
0,08</t>
  </si>
  <si>
    <t>НР 90%=118%*(0,85*0,9) от ФОТ</t>
  </si>
  <si>
    <t>СП 43%=63%*(0,8*0,85) от ФОТ</t>
  </si>
  <si>
    <t>(Демонтаж (разборка) сборных деревянных конструкций ОЗП=0,8; ЭМ=0,8 к расх.; ЗПМ=0,8; МАТ=0 к расх.; ТЗ=0,8; ТЗМ=0,8)</t>
  </si>
  <si>
    <t>Демонтаж люков в перекрытиях, площадь проема до 2 м2 0,071*2=0,142 т</t>
  </si>
  <si>
    <t>100 м2 проемов</t>
  </si>
  <si>
    <t>ФЕР46-04-001-04</t>
  </si>
  <si>
    <t>180,03
73,01</t>
  </si>
  <si>
    <t>107,02
11,57</t>
  </si>
  <si>
    <t>46.62 Разборка: кирпичных и мелкоблочных стен: ОЗП=15,9; ЭМ=5,15; ЗПМ=15,9</t>
  </si>
  <si>
    <t>994
334</t>
  </si>
  <si>
    <t>8,24
1,15</t>
  </si>
  <si>
    <t>14,83
2,07</t>
  </si>
  <si>
    <t>Разборка: кирпичных стен 1,8*1,8=3,24 т</t>
  </si>
  <si>
    <t>1 м3</t>
  </si>
  <si>
    <t>ФЕРр69-15-1</t>
  </si>
  <si>
    <t>35,04
58,4*0,6</t>
  </si>
  <si>
    <t>23,81
7,41</t>
  </si>
  <si>
    <t>94.26 Затаривание строительного мусора в мешки: ОЗП=15,9; МАТ=6,33</t>
  </si>
  <si>
    <t>НР 66%=78%*0,85 от ФОТ</t>
  </si>
  <si>
    <t>СП 40%=50%*0,8 от ФОТ</t>
  </si>
  <si>
    <t>Затаривание строительного мусора в мешки Шлак</t>
  </si>
  <si>
    <t>1 т</t>
  </si>
  <si>
    <t>ФЕРр69-9-1</t>
  </si>
  <si>
    <t>1553,82
1553,82</t>
  </si>
  <si>
    <t>94.16 Очистка помещений от строительного мусора: ОЗП=15,9</t>
  </si>
  <si>
    <t>Очистка помещений от строительного мусора</t>
  </si>
  <si>
    <t>100 т мусора</t>
  </si>
  <si>
    <t>ФЕР46-04-008-01
прим. толь с кровли</t>
  </si>
  <si>
    <t>153,59
112,16</t>
  </si>
  <si>
    <t>Разборка покрытий кровель: из рулонных материалов</t>
  </si>
  <si>
    <t>ФЕР46-04-008-01
прим. рубероид перекрытие</t>
  </si>
  <si>
    <t>Итого прямые затраты по разделу в ценах 2001г.</t>
  </si>
  <si>
    <t>1715
420</t>
  </si>
  <si>
    <t>655,35
31,59</t>
  </si>
  <si>
    <t>Итого прямые затраты по разделу с учетом индексов, в текущих ценах</t>
  </si>
  <si>
    <t>10782
6678</t>
  </si>
  <si>
    <t>Накладные расходы</t>
  </si>
  <si>
    <t>Сметная прибыль</t>
  </si>
  <si>
    <t>Итого по разделу 1 Демонтажные работы</t>
  </si>
  <si>
    <t>Раздел 2. Чердак</t>
  </si>
  <si>
    <t>ФЕРр58-13-1</t>
  </si>
  <si>
    <t>924,81
36,25</t>
  </si>
  <si>
    <t>84.34 Устройство покрытия из рулонных материалов: насухо без промазки кромок: ОЗП=15,9; ЭМ=11,58; ЗПМ=15,9; МАТ=5,21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</si>
  <si>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</si>
  <si>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</si>
  <si>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МАТ=5,235</t>
  </si>
  <si>
    <t>Рубероид кровельный с крупнозернистой посыпкой марки: РКК-350б</t>
  </si>
  <si>
    <t>м2</t>
  </si>
  <si>
    <t>ФССЦ-101-7198</t>
  </si>
  <si>
    <t>ИЗОСПАН: В; МАТ=5,839</t>
  </si>
  <si>
    <t>ИЗОСПАН: В</t>
  </si>
  <si>
    <t>10 м2</t>
  </si>
  <si>
    <t>ФЕР12-01-013-03</t>
  </si>
  <si>
    <t>4711,58
433,09</t>
  </si>
  <si>
    <t>132,25
7,43</t>
  </si>
  <si>
    <t>12.31. Утепление покрытий плитами: из минеральной ваты или перлита на битумной мастике: ОЗП=15,9; ЭМ=9,26; ЗПМ=15,9; МАТ=7</t>
  </si>
  <si>
    <t>4473
445</t>
  </si>
  <si>
    <t>45,54
0,55</t>
  </si>
  <si>
    <t>132,98
1,61</t>
  </si>
  <si>
    <t>НР 92%=120%*(0,85*0,9) от ФОТ</t>
  </si>
  <si>
    <t>СП 44%=65%*(0,8*0,85) от ФОТ</t>
  </si>
  <si>
    <t>Утепление покрытий плитами: из минеральной ваты или перлита на битумной мастике в один слой</t>
  </si>
  <si>
    <t>100 м2 утепляемого покрытия</t>
  </si>
  <si>
    <t>ФСЭМ-121011</t>
  </si>
  <si>
    <t>Котлы битумные передвижные 400 л; ЭМ=5,727</t>
  </si>
  <si>
    <t>НР 0% от ФОТ</t>
  </si>
  <si>
    <t>СП 0% от ФОТ</t>
  </si>
  <si>
    <t>Котлы битумные передвижные 400 л</t>
  </si>
  <si>
    <t>маш.-ч</t>
  </si>
  <si>
    <t>ФССЦ-101-0078</t>
  </si>
  <si>
    <t>Битумы нефтяные строительные кровельные марки: БНК-45/190, БНК-45/180; МАТ=13,273</t>
  </si>
  <si>
    <t>Битумы нефтяные строительные кровельные марки БНК-45/190, БНК-45/180</t>
  </si>
  <si>
    <t>т</t>
  </si>
  <si>
    <t>ФССЦ-101-0322</t>
  </si>
  <si>
    <t>Керосин для технических целей марок KT-1, KT-2; МАТ=22,429</t>
  </si>
  <si>
    <t>Керосин для технических целей марок КТ-1, КТ-2</t>
  </si>
  <si>
    <t>ФССЦ-101-0594</t>
  </si>
  <si>
    <t>Мастика битумная кровельная горячая; МАТ=10,164</t>
  </si>
  <si>
    <t>Мастика битумная кровельная горячая</t>
  </si>
  <si>
    <t>ФССЦ-104-0004</t>
  </si>
  <si>
    <t>Плиты из минеральной ваты:на синтетическом связующем М-125 (ГОСТ 9573-82); МАТ=5,946</t>
  </si>
  <si>
    <t>Плиты из минеральной ваты на синтетическом связующем М-125 (ГОСТ 9573-96)</t>
  </si>
  <si>
    <t>м3</t>
  </si>
  <si>
    <t>ФЕР12-01-013-04
ПЗ=4
ОЗП=4
ЭМ=4
ЗПМ=4
МАТ=4
ТЗ=4
ТЗМ=4</t>
  </si>
  <si>
    <t>17674,64
1341,28</t>
  </si>
  <si>
    <t>506,2
29,72</t>
  </si>
  <si>
    <t>17112
1733</t>
  </si>
  <si>
    <t>141,04
2,2</t>
  </si>
  <si>
    <t>411,84
6,42</t>
  </si>
  <si>
    <t>(Всего толщ. 250 мм ПЗ=4 (ОЗП=4; ЭМ=4 к расх.; ЗПМ=4; МАТ=4 к расх.; ТЗ=4; ТЗМ=4))</t>
  </si>
  <si>
    <t>Утепление покрытий плитами: на каждый последующий слой добавлять к расценке 12-01-013-03</t>
  </si>
  <si>
    <t>ФССЦ-104-9100-91004</t>
  </si>
  <si>
    <t>75,19
73*1,03</t>
  </si>
  <si>
    <t>Индекс на материалы; МАТ=5,63</t>
  </si>
  <si>
    <t>Плиты теплоизоляционные энергетические гидрофобизированные базальтовые: ПТЭ-125 , размером 2000х1000х50 мм 4145,05/5,63=736,24</t>
  </si>
  <si>
    <t>ФЕР26-01-036-01</t>
  </si>
  <si>
    <t>247,16
132,33</t>
  </si>
  <si>
    <t>9,38
0,41</t>
  </si>
  <si>
    <t>26.40 Изоляция изделиями из волокнистых и зернистых материалов с креплением на клее и дюбелями холодных поверхностей: наружных стен: ОЗП=15,9; ЭМ=9,47; ЗПМ=15,9; МАТ=1,72</t>
  </si>
  <si>
    <t>16,06
0,03</t>
  </si>
  <si>
    <t>3,21
0,01</t>
  </si>
  <si>
    <t>НР 77%=100%*(0,85*0,9) от ФОТ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</si>
  <si>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</si>
  <si>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100 м2 поверхности</t>
  </si>
  <si>
    <t>Прайс Leroy Merlin</t>
  </si>
  <si>
    <t>41,2
20*2*1,03</t>
  </si>
  <si>
    <t>Минплита URSA GEO универсальный толщ. 50 мм 40.42/1.18/5.63=6.08</t>
  </si>
  <si>
    <t>ФССЦ-101-7194</t>
  </si>
  <si>
    <t>ИЗОСПАН: А; МАТ=5,199</t>
  </si>
  <si>
    <t>ИЗОСПАН: А</t>
  </si>
  <si>
    <t>ФЕР10-01-023-01</t>
  </si>
  <si>
    <t>1051,44
31,84</t>
  </si>
  <si>
    <t>12,45
1,08</t>
  </si>
  <si>
    <t>10.54. Укладка ходовых досок: ОЗП=15,9; ЭМ=11,36; ЗПМ=15,9; МАТ=5,55</t>
  </si>
  <si>
    <t>3,8
0,08</t>
  </si>
  <si>
    <t>1,25
0,03</t>
  </si>
  <si>
    <t>Укладка ходовых досок</t>
  </si>
  <si>
    <t>100 м ходов</t>
  </si>
  <si>
    <t>ФССЦ-102-0077</t>
  </si>
  <si>
    <t>Доски необрезные хвойных пород длиной: 4-6,5 м, все ширины, толщиной 32-40 мм, III сорта; МАТ=5,57</t>
  </si>
  <si>
    <t>Доски необрезные хвойных пород длиной: 4-6,5 м, все ширины, толщиной 32-40 мм, III сорта</t>
  </si>
  <si>
    <t>ФССЦ-102-0060</t>
  </si>
  <si>
    <t>Доски обрезные хвойных пород длиной 4-6,5 м, шириной 75-150 мм, толщиной 44 мм и более, II сорта; МАТ=4,19</t>
  </si>
  <si>
    <t>Доски обрезные хвойных пород длиной: 4-6,5 м, шириной 75-150 мм, толщиной 44 мм и более, II сорта</t>
  </si>
  <si>
    <t>ФЕР10-01-010-01
прим. лесница к слуховым окнам</t>
  </si>
  <si>
    <t>2411,06
188,55</t>
  </si>
  <si>
    <t>10.18. Установка деревянных элементов каркаса: ОЗП=15,9; ЭМ=11,23; ЗПМ=15,9; МАТ=4,2</t>
  </si>
  <si>
    <t>Установка элементов каркаса: из брусьев</t>
  </si>
  <si>
    <t>1 м3 древесины в конструкции</t>
  </si>
  <si>
    <t>ФЕР09-04-013-01</t>
  </si>
  <si>
    <t>91,99
21,13</t>
  </si>
  <si>
    <t>9.67 Установка противопожарных дверей: ОЗП=15,9; ЭМ=6,6; ЗПМ=15,9; МАТ=5,62</t>
  </si>
  <si>
    <t>НР 69%=90%*(0,85*0,9) от ФОТ</t>
  </si>
  <si>
    <t>СП 58%=85%*(0,8*0,85) от ФОТ</t>
  </si>
  <si>
    <t>Установка противопожарных дверей: однопольных глухих</t>
  </si>
  <si>
    <t>1 м2 проема</t>
  </si>
  <si>
    <t>ФССЦ-301-0271-00025</t>
  </si>
  <si>
    <t>Люки противопожарные: ЛПМ 01/60, 900х1100 мм 9961,24/5,63=1769,31</t>
  </si>
  <si>
    <t>шт.</t>
  </si>
  <si>
    <t>1004
109</t>
  </si>
  <si>
    <t>585,96
8,07</t>
  </si>
  <si>
    <t>Итого прямые затраты по разделу с учетом коэффициентов к итогам</t>
  </si>
  <si>
    <t>1248
137</t>
  </si>
  <si>
    <t>669,32
10,09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</si>
  <si>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</si>
  <si>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17, 23, 18, 24, 28, 33, 36-37)</t>
  </si>
  <si>
    <t>242
27</t>
  </si>
  <si>
    <t>83,3445
2,0175</t>
  </si>
  <si>
    <t>15670
2178</t>
  </si>
  <si>
    <t>Итого по разделу 2 Чердак</t>
  </si>
  <si>
    <t>Раздел 3. Кровля</t>
  </si>
  <si>
    <t>ФЕРр58-5-1
поз. 8</t>
  </si>
  <si>
    <t>0,32
4*4*2/100</t>
  </si>
  <si>
    <t>3598,85
340,09</t>
  </si>
  <si>
    <t>84.5 Ремонт деревянных элементов конструкций крыш: укрепление стропильных ног расшивкой досками с двух сторон: ОЗП=15,9; ЭМ=11,34; ЗПМ=15,9; МАТ=4,02</t>
  </si>
  <si>
    <t>Ремонт деревянных элементов конструкций крыш: укрепление стропильных ног расшивкой досками с двух сторон</t>
  </si>
  <si>
    <t>100 м</t>
  </si>
  <si>
    <t>ФЕРр58-5-4
поз. 9</t>
  </si>
  <si>
    <t>0,144
3,6*4/100</t>
  </si>
  <si>
    <t>2722,57
1136,62</t>
  </si>
  <si>
    <t>84.8 Ремонт деревянных элементов конструкций крыш: смена стропильных ног из досок: ОЗП=15,9; ЭМ=11,24; ЗПМ=15,9; МАТ=3,92</t>
  </si>
  <si>
    <t>Ремонт деревянных элементов конструкций крыш: смена стропильных ног из досок</t>
  </si>
  <si>
    <t>ФЕРр58-5-6
поз. 2 ,5, 6</t>
  </si>
  <si>
    <t>79,7
11,9</t>
  </si>
  <si>
    <t>84.10 Ремонт деревянных элементов конструкций крыш: выправка деревянных стропильных ног с постановкой раскосов: ОЗП=15,9; ЭМ=11,33; ЗПМ=15,9; МАТ=3,7</t>
  </si>
  <si>
    <t>Ремонт деревянных элементов конструкций крыш: выправка деревянных стропильных ног с постановкой раскосов</t>
  </si>
  <si>
    <t>1 шт.</t>
  </si>
  <si>
    <t>ФССЦ-102-0008</t>
  </si>
  <si>
    <t>Лесоматериалы круглые хвойных пород для строительства диаметром 14-24 см, длиной 3-6,5 м; МАТ=3,126</t>
  </si>
  <si>
    <t>Лесоматериалы круглые хвойных пород для строительства диаметром 14-24 см, длиной 3-6,5 м</t>
  </si>
  <si>
    <t>ФЕР10-01-002-01</t>
  </si>
  <si>
    <t>2300,67
200,19</t>
  </si>
  <si>
    <t>38,22
2,03</t>
  </si>
  <si>
    <t>10.4. Установка стропил: ОЗП=15,9; ЭМ=11,14; ЗПМ=15,9; МАТ=4,11</t>
  </si>
  <si>
    <t>5514
413</t>
  </si>
  <si>
    <t>24,09
0,15</t>
  </si>
  <si>
    <t>249,81
1,56</t>
  </si>
  <si>
    <t>Установка стропил</t>
  </si>
  <si>
    <t>ФЕРр58-12-1</t>
  </si>
  <si>
    <t>2492,19
252,73</t>
  </si>
  <si>
    <t>40,78
5,94</t>
  </si>
  <si>
    <t>84.30 Устройство обрешетки сплошной из досок: ОЗП=15,9; ЭМ=10,05; ЗПМ=15,9; МАТ=5,72</t>
  </si>
  <si>
    <t>1457
334</t>
  </si>
  <si>
    <t>31,83
0,44</t>
  </si>
  <si>
    <t>113,35
1,57</t>
  </si>
  <si>
    <t>Устройство обрешетки сплошной из досок</t>
  </si>
  <si>
    <t>ФССЦ-102-0073</t>
  </si>
  <si>
    <t>Доски необрезные хвойных пород длиной: 4-6,5 м, все ширины, толщиной 25 мм, III сорта; МАТ=5,856</t>
  </si>
  <si>
    <t>Доски необрезные хвойных пород длиной: 4-6,5 м, все ширины, толщиной 25 мм, III сорта</t>
  </si>
  <si>
    <t>ФЕРр58-12-2</t>
  </si>
  <si>
    <t>1766,82
169,52</t>
  </si>
  <si>
    <t>26,57
4,32</t>
  </si>
  <si>
    <t>84.31 Устройство обрешетки с прозорами из досок и брусков под кровлю: из листовой стали: ОЗП=15,9; ЭМ=9,87; ЗПМ=15,9; МАТ=5,45</t>
  </si>
  <si>
    <t>523
143</t>
  </si>
  <si>
    <t>21,35
0,32</t>
  </si>
  <si>
    <t>42,49
0,64</t>
  </si>
  <si>
    <t>Устройство обрешетки с прозорами из досок и брусков под кровлю: из листовой стали</t>
  </si>
  <si>
    <t>ФССЦ-101-7200</t>
  </si>
  <si>
    <t>ИЗОСПАН: D; МАТ=4,463</t>
  </si>
  <si>
    <t>ИЗОСПАН: D</t>
  </si>
  <si>
    <t>ФЕР10-01-003-01</t>
  </si>
  <si>
    <t>378,81
56,55</t>
  </si>
  <si>
    <t>22,06
1,49</t>
  </si>
  <si>
    <t>10.5. Устройство слуховых окон: ОЗП=15,9; ЭМ=11,38; ЗПМ=15,9; МАТ=5,5</t>
  </si>
  <si>
    <t>626
64</t>
  </si>
  <si>
    <t>6,63
0,11</t>
  </si>
  <si>
    <t>13,26
0,22</t>
  </si>
  <si>
    <t>Устройство слуховых окон</t>
  </si>
  <si>
    <t>1 слуховое окно</t>
  </si>
  <si>
    <t>ФССЦ-101-2007</t>
  </si>
  <si>
    <t>Петли форточные накладные размером 70x55 мм; МАТ=1,875</t>
  </si>
  <si>
    <t>Петли форточные накладные размером 70х55 мм</t>
  </si>
  <si>
    <t>компл.</t>
  </si>
  <si>
    <t>ФССЦ-101-2001</t>
  </si>
  <si>
    <t>Шпингалеты дверные размером 230x26 мм, оцинкованные или окрашенные; МАТ=5,297</t>
  </si>
  <si>
    <t>Шпингалеты дверные размером 230х26 мм, оцинкованные или окрашенные</t>
  </si>
  <si>
    <t>ФССЦ-203-0251</t>
  </si>
  <si>
    <t>Створки оконные для жилых зданий площадь: 0,3-0,4 м2; МАТ=7,752</t>
  </si>
  <si>
    <t>Створки оконные для жилых зданий площадь: 0,3-0,4 м2</t>
  </si>
  <si>
    <t>ФССЦ-203-0255</t>
  </si>
  <si>
    <t>Створки оконные для жилых зданий площадь: 0,8-1,0 м2; МАТ=5,332</t>
  </si>
  <si>
    <t>Створки оконные для жилых зданий площадь: 0,8-1,0 м2</t>
  </si>
  <si>
    <t>ФЕР10-01-008-05</t>
  </si>
  <si>
    <t>5313,53
1219,79</t>
  </si>
  <si>
    <t>10.12. Устройство карнизов: ОЗП=15,9; ЭМ=11,52; ЗПМ=15,9; МАТ=8,81</t>
  </si>
  <si>
    <t>Устройство: карнизов</t>
  </si>
  <si>
    <t>100 м2 стен, фронтонов (за вычетом проемов) и развернутых поверхностей карнизов</t>
  </si>
  <si>
    <t>ФЕР26-02-018-02</t>
  </si>
  <si>
    <t>159,27
83,38</t>
  </si>
  <si>
    <t>74,06
1,04</t>
  </si>
  <si>
    <t>26.106 Огнебиозащитное покрытие деревянных конструкций составами 'Пирилакс' (любой модификации): ОЗП=15,9; ЭМ=11,37; ЗПМ=15,9; МАТ=16,82</t>
  </si>
  <si>
    <t>15702
318</t>
  </si>
  <si>
    <t>8,87
0,09</t>
  </si>
  <si>
    <t>132,37
1,34</t>
  </si>
  <si>
    <t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</t>
  </si>
  <si>
    <t>100 м2 обрабатываемой поверхности</t>
  </si>
  <si>
    <t>ФССЦ-113-8070</t>
  </si>
  <si>
    <t>Антисептик-антипирен «ПИРИЛАКС-ТЕРМА» для древесины; МАТ=9,435</t>
  </si>
  <si>
    <t>Антисептик-антипирен «ПИРИЛАКС-ТЕРМА» для древесины</t>
  </si>
  <si>
    <t>кг</t>
  </si>
  <si>
    <t>ФЕР12-01-023-02</t>
  </si>
  <si>
    <t>10417,47
356,23</t>
  </si>
  <si>
    <t>115,24
10,67</t>
  </si>
  <si>
    <t>12.51. Устройство кровли из металлочерепицы (с отделочным покрытием): ОЗП=15,9; ЭМ=11,31; ЗПМ=15,9; МАТ=3,9</t>
  </si>
  <si>
    <t>7046
922</t>
  </si>
  <si>
    <t>41,23
0,79</t>
  </si>
  <si>
    <t>178,11
3,41</t>
  </si>
  <si>
    <t>Устройство кровли из металлочерепицы по готовым прогонам: средней сложности</t>
  </si>
  <si>
    <t>ФССЦ-101-4136</t>
  </si>
  <si>
    <t>Металлочерепица «Монтеррей»; МАТ=3,726</t>
  </si>
  <si>
    <t>Металлочерепица «Монтеррей»</t>
  </si>
  <si>
    <t>ФССЦ-101-3859</t>
  </si>
  <si>
    <t>3,94416
432*8,3*1,1/1000</t>
  </si>
  <si>
    <t>Профилированный настил оцинкованный: С44-1000-0,7; МАТ=4,335</t>
  </si>
  <si>
    <t>Профилированный настил оцинкованный: С44-1000-0,7</t>
  </si>
  <si>
    <t>ФССЦ-101-3741</t>
  </si>
  <si>
    <t>0,2984
0,0814+0,217</t>
  </si>
  <si>
    <t>Сталь листовая оцинкованная толщиной листа: 0,55 мм; МАТ=3,688</t>
  </si>
  <si>
    <t>Сталь листовая оцинкованная толщиной листа: 0,55 мм</t>
  </si>
  <si>
    <t>ФЕР09-05-006-01</t>
  </si>
  <si>
    <t>3,6
3,05</t>
  </si>
  <si>
    <t>9.74 Резка стального профилированного настила: ОЗП=15,9; ЭМ=2,02; ЗПМ=15,9</t>
  </si>
  <si>
    <t>Резка стального профилированного настила</t>
  </si>
  <si>
    <t>1 м реза</t>
  </si>
  <si>
    <t>ФЕР12-01-012-01</t>
  </si>
  <si>
    <t>0,8184
1,86*44/100</t>
  </si>
  <si>
    <t>3147,39
59,1</t>
  </si>
  <si>
    <t>55,38
3,92</t>
  </si>
  <si>
    <t>12.29. Ограждение кровель перилами: ОЗП=15,9; ЭМ=10,13; ЗПМ=15,9; МАТ=7,27</t>
  </si>
  <si>
    <t>567
64</t>
  </si>
  <si>
    <t>6,67
0,29</t>
  </si>
  <si>
    <t>5,46
0,24</t>
  </si>
  <si>
    <t>Ограждение кровель перилами</t>
  </si>
  <si>
    <t>100 м ограждения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</si>
  <si>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</si>
  <si>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МАТ=7,282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</si>
  <si>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</t>
  </si>
  <si>
    <t>Прайс  МеталлПрофиль</t>
  </si>
  <si>
    <t>Ограждение длиной 1860 мм 1800/1,18/5,63=270,95</t>
  </si>
  <si>
    <t>шт</t>
  </si>
  <si>
    <t>0,72
3*24/100</t>
  </si>
  <si>
    <t>507
64</t>
  </si>
  <si>
    <t>4,8
0,21</t>
  </si>
  <si>
    <t>Снегозадержатели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</si>
  <si>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</si>
  <si>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Снегозадержатель длиной 3000 мм 1800/1,18/5,63=270,95</t>
  </si>
  <si>
    <t>142
16</t>
  </si>
  <si>
    <t>1,33
0,06</t>
  </si>
  <si>
    <t>Страховочный трос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</si>
  <si>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</si>
  <si>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ФССЦ-509-0801</t>
  </si>
  <si>
    <t>Трос стальной; МАТ=6,918</t>
  </si>
  <si>
    <t>Трос стальной</t>
  </si>
  <si>
    <t>м</t>
  </si>
  <si>
    <t>ФССЦ-204-0059</t>
  </si>
  <si>
    <t>0,00576
0,00072*8</t>
  </si>
  <si>
    <t>Анкерные детали из прямых или гнутых круглых стержней с резьбой (в комплекте с шайбами и гайками или без них), поставляемые отдельно; МАТ=4,356</t>
  </si>
  <si>
    <t>Анкерные детали из прямых или гнутых круглых стержней с резьбой (в комплекте с шайбами и гайками или без них): поставляемые отдельно</t>
  </si>
  <si>
    <t>0,0744
1,86*4/100</t>
  </si>
  <si>
    <t>0,5
0,02</t>
  </si>
  <si>
    <t>Устройство переходных лестниц  на кровле</t>
  </si>
  <si>
    <t>Лестница кровельная длиной 1860 мм 2200/1,18/5,63=331,16</t>
  </si>
  <si>
    <t>0,025
0,0125*2</t>
  </si>
  <si>
    <t>0,17
0,01</t>
  </si>
  <si>
    <t>Устройство переходных мостиков  на кровле</t>
  </si>
  <si>
    <t>Прайс  Руффо</t>
  </si>
  <si>
    <t>Переходный мостик 1250 мм 2250/1,18/5,63=338,68</t>
  </si>
  <si>
    <t>ФЕР08-07-001-02</t>
  </si>
  <si>
    <t>725,16
375,84</t>
  </si>
  <si>
    <t>8.43. Установка и разборка инвентарных лесов: ОЗП=15,9; ЭМ=11,58; ЗПМ=15,9; МАТ=12,83</t>
  </si>
  <si>
    <t>НР 93%=122%*(0,85*0,9) от ФОТ</t>
  </si>
  <si>
    <t>СП 54%=80%*(0,8*0,85) от ФОТ</t>
  </si>
  <si>
    <t>Установка и разборка наружных инвентарных лесов высотой до 16 м: трубчатых для прочих отделочных работ</t>
  </si>
  <si>
    <t>100 м2 вертикальной проекции для наружных лесов</t>
  </si>
  <si>
    <t>2589
123</t>
  </si>
  <si>
    <t>1175,24
9,28</t>
  </si>
  <si>
    <t>3160
147</t>
  </si>
  <si>
    <t>1319,8
11,06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</si>
  <si>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44, 54, 59-60, 62, 67, 70, 73, 77, 80, 66, 83)</t>
  </si>
  <si>
    <t>571
23</t>
  </si>
  <si>
    <t>144,549
1,7675</t>
  </si>
  <si>
    <t>34990
2337</t>
  </si>
  <si>
    <t>Итого по разделу 3 Кровля</t>
  </si>
  <si>
    <t>Раздел 4. Молниезащита</t>
  </si>
  <si>
    <t>ФЕРм08-02-472-08</t>
  </si>
  <si>
    <t>541,57
188,94</t>
  </si>
  <si>
    <t>51,62
1,49</t>
  </si>
  <si>
    <t>55.352 Проводник заземляющий открыто по строительным основаниям: ОЗП=15,9; ЭМ=8,61; ЗПМ=15,9; МАТ=3,45</t>
  </si>
  <si>
    <t>20,1
0,11</t>
  </si>
  <si>
    <t>5,63
0,03</t>
  </si>
  <si>
    <t>НР 81%=95%*0,85 от ФОТ</t>
  </si>
  <si>
    <t>Проводник заземляющий открыто по строительным основаниям: из круглой стали диаметром 8 мм</t>
  </si>
  <si>
    <t>534
32</t>
  </si>
  <si>
    <t>24,32
0,13</t>
  </si>
  <si>
    <t>ФССЦ-101-1627</t>
  </si>
  <si>
    <t>-0,0596
-0,0112-0,0484</t>
  </si>
  <si>
    <t>Сталь листовая углеродистая обыкновенного качества марки ВСт3пс5 толщиной:4-6 мм; МАТ=4,507</t>
  </si>
  <si>
    <t>Сталь листовая углеродистая обыкновенного качества марки ВСт3пс5 толщиной: 4-6 мм</t>
  </si>
  <si>
    <t>ФССЦ-101-1613</t>
  </si>
  <si>
    <t>0,05886
0,01106+0,0478</t>
  </si>
  <si>
    <t>Сталь круглая углеродистая обыкновенного качества марки ВСт3пс5-1 диаметром:8 мм; МАТ=3,922</t>
  </si>
  <si>
    <t>Сталь круглая углеродистая обыкновенного качества марки ВСт3пс5-1 диаметром: 8 мм</t>
  </si>
  <si>
    <t>ФЕРм08-02-471-04</t>
  </si>
  <si>
    <t>155,02
77,93</t>
  </si>
  <si>
    <t>51,63
1,89</t>
  </si>
  <si>
    <t>55.349 Заземлители: ОЗП=15,9; ЭМ=8,99; ЗПМ=15,9; МАТ=6,35</t>
  </si>
  <si>
    <t>189
16</t>
  </si>
  <si>
    <t>8,29
0,14</t>
  </si>
  <si>
    <t>3,32
0,06</t>
  </si>
  <si>
    <t>Заземлитель вертикальный из круглой стали диаметром: 16 мм</t>
  </si>
  <si>
    <t>10 шт.</t>
  </si>
  <si>
    <t>ФССЦ-101-1614</t>
  </si>
  <si>
    <t>0,0316
20*1,58/1000</t>
  </si>
  <si>
    <t>Сталь круглая углеродистая обыкновенного качества марки ВСт3пс5-1 диаметром:16 мм; МАТ=3,889</t>
  </si>
  <si>
    <t>Сталь круглая углеродистая обыкновенного качества марки ВСт3пс5-1 диаметром: 16 мм</t>
  </si>
  <si>
    <t>ФЕРм08-02-472-07</t>
  </si>
  <si>
    <t>389,46
200,22</t>
  </si>
  <si>
    <t>82,67
3,38</t>
  </si>
  <si>
    <t>21,3
0,25</t>
  </si>
  <si>
    <t>1,11
0,01</t>
  </si>
  <si>
    <t>Проводник заземляющий открыто по строительным основаниям: из полосовой стали сечением 160 мм2</t>
  </si>
  <si>
    <t>ФЕРм08-02-472-09</t>
  </si>
  <si>
    <t>1,06
0,86+0,2</t>
  </si>
  <si>
    <t>374,79
200,22</t>
  </si>
  <si>
    <t>69,36
2,57</t>
  </si>
  <si>
    <t>637
48</t>
  </si>
  <si>
    <t>21,3
0,19</t>
  </si>
  <si>
    <t>22,58
0,2</t>
  </si>
  <si>
    <t>Проводник заземляющий открыто по строительным основаниям: из круглой стали диаметром 12 мм</t>
  </si>
  <si>
    <t>0,16748
106*1,58/1000</t>
  </si>
  <si>
    <t>Прайс Руссвет</t>
  </si>
  <si>
    <t>Зажим угловой коньковый 100мм ДКС ND2202 154,98/1,18/5,63=23,33</t>
  </si>
  <si>
    <t>Держатель проволоки d8мм кровельный 55мм (пластик) FOREND F21214 281,82/1,18/5,63=42,42</t>
  </si>
  <si>
    <t>119
32+87</t>
  </si>
  <si>
    <t>Держатель фасадный 160мм ДКС ND2301 327,04/1,18/5,63=49,23</t>
  </si>
  <si>
    <t>ФЕР01-02-031-04
применит</t>
  </si>
  <si>
    <t>2416,94
118,56</t>
  </si>
  <si>
    <t>2298,38
192,44</t>
  </si>
  <si>
    <t>1.163 Бурение ям бурильно-крановыми машинами: ОЗП=15,9; ЭМ=6,79; ЗПМ=15,9</t>
  </si>
  <si>
    <t>781
159</t>
  </si>
  <si>
    <t>15,2
16,59</t>
  </si>
  <si>
    <t>0,61
0,66</t>
  </si>
  <si>
    <t>НР 80% от ФОТ</t>
  </si>
  <si>
    <t>СП 45% от ФОТ</t>
  </si>
  <si>
    <t>Бурение ям глубиной до 2 м бурильно-крановыми машинами: на автомобиле, группа грунтов 2</t>
  </si>
  <si>
    <t>100 ям</t>
  </si>
  <si>
    <t>ФЕР13-03-002-04</t>
  </si>
  <si>
    <t>268,7
56,55</t>
  </si>
  <si>
    <t>9,43
0,1</t>
  </si>
  <si>
    <t>13.39. Огрунтовка металлических поверхностей за один раз: грунтовкой ГФ-021: ОЗП=15,9; ЭМ=11,05; ЗПМ=15,9; МАТ=4,81</t>
  </si>
  <si>
    <t>5,31
0,01</t>
  </si>
  <si>
    <t>Огрунтовка металлических поверхностей за один раз: грунтовкой ГФ-021</t>
  </si>
  <si>
    <t>100 м2 окрашиваемой поверхности</t>
  </si>
  <si>
    <t>ФЕР13-03-004-26
ПЗ=2
ОЗП=2
ЭМ=2
ЗПМ=2
МАТ=2
ТЗ=2
ТЗМ=2</t>
  </si>
  <si>
    <t>644,48
69,48</t>
  </si>
  <si>
    <t>12,44
0,2</t>
  </si>
  <si>
    <t>13.100 Окраска металлических огрунтованных поверхностей: эмалью ПФ-115: ОЗП=15,9; ЭМ=10,87; ЗПМ=15,9; МАТ=6,04</t>
  </si>
  <si>
    <t>7,66
0,02</t>
  </si>
  <si>
    <t>(За 2 раза ПЗ=2 (ОЗП=2; ЭМ=2 к расх.; ЗПМ=2; МАТ=2 к расх.; ТЗ=2; ТЗМ=2))</t>
  </si>
  <si>
    <t>Окраска металлических огрунтованных поверхностей: эмалью ПФ-115</t>
  </si>
  <si>
    <t>270
14</t>
  </si>
  <si>
    <t>59,43
1,09</t>
  </si>
  <si>
    <t>294
16</t>
  </si>
  <si>
    <t>59,8
1,26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</si>
  <si>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98-100)</t>
  </si>
  <si>
    <t>24
2</t>
  </si>
  <si>
    <t>0,3705
0,165</t>
  </si>
  <si>
    <t>2339
255</t>
  </si>
  <si>
    <t>Итого по разделу 4 Молниезащита</t>
  </si>
  <si>
    <t>Раздел 5. Вывоз мусора</t>
  </si>
  <si>
    <t>ФССЦпг01-01-01-041</t>
  </si>
  <si>
    <t>1,62
54*0,03</t>
  </si>
  <si>
    <t>42,98
42,98</t>
  </si>
  <si>
    <t>Мусор строительный, вручную: погрузка: ОЗП=10,75; ЭМ=10,75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</si>
  <si>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</si>
  <si>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</si>
  <si>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</si>
  <si>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</si>
  <si>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ФССЦпг01-01-01-043</t>
  </si>
  <si>
    <t>52,38
54*0,97</t>
  </si>
  <si>
    <t>Мусор строительный, экскаваторами емк,ковша 0,5 м3: погрузка; ЭМ=11,52</t>
  </si>
  <si>
    <t>Погрузочные работы при автомобильных перевозках: мусора строительного с погрузкой экскаваторами емкостью ковша до 0,5 м3</t>
  </si>
  <si>
    <t>ФССЦпг03-21-01-015</t>
  </si>
  <si>
    <t>Перевозка грузов автомобилями-самосвалами грузоподъемностью 10 т, работающих вне карьера, на расстояние: до 15 км.: I класс груза; ЭМ=9,82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</si>
  <si>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</si>
  <si>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Итого по разделу 5 Вывоз мусора</t>
  </si>
  <si>
    <t>Итого прямые затраты по смете в ценах 2001г.</t>
  </si>
  <si>
    <t>6473
666</t>
  </si>
  <si>
    <t>2475,98
50,03</t>
  </si>
  <si>
    <t>Итого прямые затраты по смете с учетом коэффициентов к итогам</t>
  </si>
  <si>
    <t>7312
720</t>
  </si>
  <si>
    <t>2704,27
54</t>
  </si>
  <si>
    <t>Итого прямые затраты по смете с учетом индексов, в текущих ценах</t>
  </si>
  <si>
    <t>72863
11448</t>
  </si>
  <si>
    <t>Итоги по смете:</t>
  </si>
  <si>
    <t xml:space="preserve">  Итого Строительные работы</t>
  </si>
  <si>
    <t>2647,31
53,57</t>
  </si>
  <si>
    <t xml:space="preserve">  Итого Монтажные работы</t>
  </si>
  <si>
    <t>56,96
0,43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</si>
  <si>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</si>
  <si>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</si>
  <si>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</si>
  <si>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</si>
  <si>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</si>
  <si>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</si>
  <si>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</si>
  <si>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</si>
  <si>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2 кв. 2016 года</t>
  </si>
  <si>
    <t>Проведена проверка достоверности определения сметной стоимости</t>
  </si>
  <si>
    <t>Составила:____________________________</t>
  </si>
  <si>
    <t>на капитальный ремонт крыши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</si>
</sst>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1" xfId="3" applyFont="1" applyBorder="1" applyAlignment="1">
      <alignment horizontal="right" vertical="top" wrapText="1"/>
    </xf>
    <xf numFmtId="0" fontId="2" fillId="0" borderId="1" xfId="3" applyFont="1" applyBorder="1" applyAlignment="1">
      <alignment horizontal="right" vertical="top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178"/>
  <sheetViews>
    <sheetView showGridLines="0" tabSelected="1" zoomScale="101" zoomScaleNormal="101" workbookViewId="0">
      <selection activeCell="AY15" sqref="AY14:AY15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41.6640625" style="3" customWidth="1"/>
    <col min="4" max="4" width="6.88671875" style="3" customWidth="1"/>
    <col min="5" max="5" width="9.6640625" style="35" customWidth="1"/>
    <col min="6" max="6" width="8.88671875" style="35" customWidth="1"/>
    <col min="7" max="7" width="0.109375" style="35" hidden="1" customWidth="1"/>
    <col min="8" max="8" width="25.33203125" style="35" customWidth="1"/>
    <col min="9" max="9" width="9.6640625" style="35" customWidth="1"/>
    <col min="10" max="10" width="8.109375" style="35" customWidth="1"/>
    <col min="11" max="11" width="8.6640625" style="35" customWidth="1"/>
    <col min="12" max="12" width="8.88671875" style="35" hidden="1" customWidth="1"/>
    <col min="13" max="13" width="7.6640625" style="35" customWidth="1"/>
    <col min="14" max="14" width="8" style="2" customWidth="1"/>
    <col min="15" max="15" width="0" style="2" hidden="1" customWidth="1"/>
    <col min="16" max="16" width="19.6640625" style="2" hidden="1" customWidth="1"/>
    <col min="17" max="26" width="0" style="2" hidden="1" customWidth="1"/>
    <col min="27" max="34" width="30.6640625" style="2" hidden="1" customWidth="1"/>
    <col min="35" max="35" width="31.5546875" style="2" hidden="1" customWidth="1"/>
    <col min="36" max="48" width="0" style="2" hidden="1" customWidth="1"/>
    <col min="49" max="16384" width="9.109375" style="2"/>
  </cols>
  <sheetData>
    <row r="1" spans="1:14" s="1" customFormat="1" x14ac:dyDescent="0.25">
      <c r="A1" s="15"/>
      <c r="B1" s="20"/>
      <c r="C1" s="15"/>
      <c r="E1" s="21"/>
      <c r="F1" s="22" t="s">
        <v>25</v>
      </c>
      <c r="G1" s="21"/>
      <c r="H1" s="23"/>
      <c r="I1" s="15"/>
      <c r="J1" s="15"/>
      <c r="K1" s="15"/>
      <c r="L1" s="15"/>
      <c r="M1" s="15"/>
    </row>
    <row r="2" spans="1:14" s="1" customFormat="1" x14ac:dyDescent="0.25">
      <c r="A2" s="8" t="s">
        <v>5</v>
      </c>
      <c r="B2" s="20"/>
      <c r="D2" s="23"/>
      <c r="F2" s="24" t="s">
        <v>1</v>
      </c>
      <c r="G2" s="24"/>
      <c r="J2" s="8"/>
      <c r="L2" s="8"/>
      <c r="M2" s="15"/>
      <c r="N2" s="25" t="s">
        <v>6</v>
      </c>
    </row>
    <row r="3" spans="1:14" s="1" customFormat="1" x14ac:dyDescent="0.25">
      <c r="A3" s="26" t="s">
        <v>7</v>
      </c>
      <c r="E3" s="15"/>
      <c r="F3" s="15"/>
      <c r="G3" s="15"/>
      <c r="H3" s="15"/>
      <c r="J3" s="8"/>
      <c r="L3" s="8"/>
      <c r="M3" s="15"/>
      <c r="N3" s="27" t="s">
        <v>0</v>
      </c>
    </row>
    <row r="4" spans="1:14" s="1" customFormat="1" ht="51" customHeight="1" x14ac:dyDescent="0.25">
      <c r="A4" s="65" t="s">
        <v>26</v>
      </c>
      <c r="B4" s="65"/>
      <c r="C4" s="65"/>
      <c r="F4" s="28" t="s">
        <v>27</v>
      </c>
      <c r="G4" s="15"/>
      <c r="I4" s="66" t="s">
        <v>26</v>
      </c>
      <c r="J4" s="66"/>
      <c r="K4" s="66"/>
      <c r="L4" s="66"/>
      <c r="M4" s="66"/>
      <c r="N4" s="66"/>
    </row>
    <row r="5" spans="1:14" s="1" customFormat="1" x14ac:dyDescent="0.25">
      <c r="A5" s="15"/>
      <c r="B5" s="15"/>
      <c r="C5" s="15"/>
      <c r="F5" s="15" t="s">
        <v>2</v>
      </c>
      <c r="G5" s="15"/>
      <c r="I5" s="15"/>
      <c r="J5" s="15"/>
      <c r="K5" s="15"/>
      <c r="L5" s="15"/>
      <c r="M5" s="15"/>
    </row>
    <row r="6" spans="1:14" s="1" customFormat="1" x14ac:dyDescent="0.25">
      <c r="A6" s="15"/>
      <c r="B6" s="15"/>
      <c r="C6" s="15"/>
      <c r="E6" s="15"/>
      <c r="F6" s="15"/>
      <c r="G6" s="15"/>
      <c r="H6" s="15"/>
      <c r="I6" s="15"/>
      <c r="J6" s="15"/>
      <c r="K6" s="15"/>
      <c r="L6" s="15"/>
      <c r="M6" s="15"/>
    </row>
    <row r="7" spans="1:14" s="1" customFormat="1" x14ac:dyDescent="0.25">
      <c r="A7" s="15"/>
      <c r="B7" s="15"/>
      <c r="C7" s="29"/>
      <c r="D7" s="30" t="s">
        <v>543</v>
      </c>
      <c r="E7" s="31"/>
      <c r="F7" s="31"/>
      <c r="G7" s="31"/>
      <c r="H7" s="31"/>
      <c r="I7" s="32"/>
      <c r="J7" s="32"/>
      <c r="K7" s="32"/>
      <c r="L7" s="32"/>
      <c r="M7" s="15"/>
    </row>
    <row r="8" spans="1:14" s="1" customFormat="1" x14ac:dyDescent="0.25">
      <c r="A8" s="15"/>
      <c r="B8" s="15"/>
      <c r="C8" s="15"/>
      <c r="D8" s="33" t="s">
        <v>21</v>
      </c>
      <c r="E8" s="24"/>
      <c r="F8" s="24"/>
      <c r="G8" s="24"/>
      <c r="I8" s="32"/>
      <c r="J8" s="32"/>
      <c r="K8" s="32"/>
      <c r="L8" s="32"/>
      <c r="M8" s="15"/>
    </row>
    <row r="9" spans="1:14" s="1" customFormat="1" ht="7.5" customHeight="1" x14ac:dyDescent="0.25">
      <c r="A9" s="34"/>
      <c r="B9" s="34"/>
      <c r="C9" s="15"/>
      <c r="E9" s="15"/>
      <c r="F9" s="15"/>
      <c r="G9" s="15"/>
      <c r="H9" s="15"/>
      <c r="I9" s="15"/>
      <c r="J9" s="15"/>
      <c r="M9" s="15"/>
    </row>
    <row r="10" spans="1:14" x14ac:dyDescent="0.25">
      <c r="A10" s="71" t="s">
        <v>28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x14ac:dyDescent="0.25">
      <c r="A11" s="6" t="s">
        <v>10</v>
      </c>
      <c r="B11" s="7"/>
      <c r="C11" s="72">
        <v>2039448</v>
      </c>
      <c r="D11" s="72"/>
      <c r="E11" s="72"/>
      <c r="F11" s="8" t="s">
        <v>9</v>
      </c>
      <c r="G11" s="9"/>
      <c r="H11" s="9"/>
      <c r="I11" s="9"/>
      <c r="J11" s="9"/>
    </row>
    <row r="12" spans="1:14" x14ac:dyDescent="0.25">
      <c r="A12" s="6" t="s">
        <v>20</v>
      </c>
      <c r="B12" s="7"/>
      <c r="C12" s="10"/>
      <c r="D12" s="73">
        <v>382721</v>
      </c>
      <c r="E12" s="73"/>
      <c r="F12" s="8" t="s">
        <v>9</v>
      </c>
      <c r="G12" s="9"/>
      <c r="H12" s="95" t="s">
        <v>541</v>
      </c>
      <c r="I12" s="95"/>
      <c r="J12" s="95"/>
      <c r="K12" s="95"/>
      <c r="L12" s="95"/>
      <c r="M12" s="95"/>
      <c r="N12" s="95"/>
    </row>
    <row r="13" spans="1:14" x14ac:dyDescent="0.25">
      <c r="A13" s="6" t="s">
        <v>540</v>
      </c>
      <c r="B13" s="2"/>
      <c r="C13" s="11"/>
      <c r="D13" s="12"/>
      <c r="E13" s="13"/>
      <c r="F13" s="36"/>
      <c r="G13" s="14"/>
      <c r="H13" s="14"/>
      <c r="I13" s="9"/>
      <c r="J13" s="9"/>
    </row>
    <row r="14" spans="1:14" ht="11.25" customHeight="1" x14ac:dyDescent="0.25">
      <c r="A14" s="15"/>
      <c r="B14" s="8"/>
      <c r="C14" s="8"/>
      <c r="D14" s="15"/>
      <c r="E14" s="9"/>
      <c r="F14" s="9"/>
      <c r="G14" s="9"/>
      <c r="H14" s="10"/>
      <c r="I14" s="9"/>
      <c r="J14" s="9"/>
      <c r="K14" s="9"/>
      <c r="L14" s="9"/>
      <c r="M14" s="9"/>
      <c r="N14" s="2" t="s">
        <v>9</v>
      </c>
    </row>
    <row r="15" spans="1:14" ht="12.75" customHeight="1" x14ac:dyDescent="0.25">
      <c r="A15" s="69" t="s">
        <v>3</v>
      </c>
      <c r="B15" s="69" t="s">
        <v>17</v>
      </c>
      <c r="C15" s="67" t="s">
        <v>22</v>
      </c>
      <c r="D15" s="67" t="s">
        <v>18</v>
      </c>
      <c r="E15" s="78" t="s">
        <v>23</v>
      </c>
      <c r="F15" s="79"/>
      <c r="G15" s="80"/>
      <c r="H15" s="67" t="s">
        <v>4</v>
      </c>
      <c r="I15" s="78" t="s">
        <v>24</v>
      </c>
      <c r="J15" s="84"/>
      <c r="K15" s="84"/>
      <c r="L15" s="75"/>
      <c r="M15" s="74" t="s">
        <v>19</v>
      </c>
      <c r="N15" s="75"/>
    </row>
    <row r="16" spans="1:14" s="4" customFormat="1" ht="38.25" customHeight="1" x14ac:dyDescent="0.25">
      <c r="A16" s="70"/>
      <c r="B16" s="70"/>
      <c r="C16" s="70"/>
      <c r="D16" s="70"/>
      <c r="E16" s="81"/>
      <c r="F16" s="82"/>
      <c r="G16" s="83"/>
      <c r="H16" s="70"/>
      <c r="I16" s="76"/>
      <c r="J16" s="85"/>
      <c r="K16" s="85"/>
      <c r="L16" s="77"/>
      <c r="M16" s="76"/>
      <c r="N16" s="77"/>
    </row>
    <row r="17" spans="1:35" s="4" customFormat="1" ht="12.75" customHeight="1" x14ac:dyDescent="0.25">
      <c r="A17" s="70"/>
      <c r="B17" s="70"/>
      <c r="C17" s="70"/>
      <c r="D17" s="70"/>
      <c r="E17" s="37" t="s">
        <v>12</v>
      </c>
      <c r="F17" s="37" t="s">
        <v>14</v>
      </c>
      <c r="G17" s="67" t="s">
        <v>16</v>
      </c>
      <c r="H17" s="70"/>
      <c r="I17" s="67" t="s">
        <v>12</v>
      </c>
      <c r="J17" s="67" t="s">
        <v>15</v>
      </c>
      <c r="K17" s="37" t="s">
        <v>14</v>
      </c>
      <c r="L17" s="67" t="s">
        <v>16</v>
      </c>
      <c r="M17" s="69" t="s">
        <v>8</v>
      </c>
      <c r="N17" s="67" t="s">
        <v>12</v>
      </c>
    </row>
    <row r="18" spans="1:35" s="4" customFormat="1" ht="11.25" customHeight="1" x14ac:dyDescent="0.25">
      <c r="A18" s="68"/>
      <c r="B18" s="68"/>
      <c r="C18" s="68"/>
      <c r="D18" s="68"/>
      <c r="E18" s="38" t="s">
        <v>11</v>
      </c>
      <c r="F18" s="37" t="s">
        <v>13</v>
      </c>
      <c r="G18" s="68"/>
      <c r="H18" s="68"/>
      <c r="I18" s="68"/>
      <c r="J18" s="68"/>
      <c r="K18" s="37" t="s">
        <v>13</v>
      </c>
      <c r="L18" s="68"/>
      <c r="M18" s="68"/>
      <c r="N18" s="68"/>
    </row>
    <row r="19" spans="1:35" x14ac:dyDescent="0.25">
      <c r="A19" s="42">
        <v>1</v>
      </c>
      <c r="B19" s="42">
        <v>2</v>
      </c>
      <c r="C19" s="42">
        <v>3</v>
      </c>
      <c r="D19" s="42">
        <v>4</v>
      </c>
      <c r="E19" s="42">
        <v>5</v>
      </c>
      <c r="F19" s="42">
        <v>6</v>
      </c>
      <c r="G19" s="42">
        <v>7</v>
      </c>
      <c r="H19" s="42">
        <v>7</v>
      </c>
      <c r="I19" s="42">
        <v>8</v>
      </c>
      <c r="J19" s="42">
        <v>9</v>
      </c>
      <c r="K19" s="42">
        <v>10</v>
      </c>
      <c r="L19" s="42">
        <v>12</v>
      </c>
      <c r="M19" s="42">
        <v>11</v>
      </c>
      <c r="N19" s="42">
        <v>12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3"/>
      <c r="AB19" s="44"/>
      <c r="AC19" s="44"/>
      <c r="AD19" s="44"/>
      <c r="AE19" s="44"/>
      <c r="AF19" s="45"/>
      <c r="AG19" s="44"/>
      <c r="AH19" s="44"/>
      <c r="AI19" s="44"/>
    </row>
    <row r="20" spans="1:35" ht="21" customHeight="1" x14ac:dyDescent="0.25">
      <c r="A20" s="88" t="s">
        <v>30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</row>
    <row r="21" spans="1:35" ht="132" x14ac:dyDescent="0.25">
      <c r="A21" s="46">
        <v>1</v>
      </c>
      <c r="B21" s="47" t="s">
        <v>31</v>
      </c>
      <c r="C21" s="48" t="str">
        <f t="shared" ref="C21:C33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кровель: из волнистых и полуволнистых асбестоцементных листов 432*0,014=6,05 т
100 м2 покрытия
7158 руб. НР 84%=110%*(0,85*0,9) от ФОТ (8522 руб.)
4091 руб.СП 48%=70%*(0,8*0,85) от ФОТ (8522 руб.)
</v>
      </c>
      <c r="D21" s="46">
        <v>4.32</v>
      </c>
      <c r="E21" s="49" t="s">
        <v>32</v>
      </c>
      <c r="F21" s="49">
        <v>30.64</v>
      </c>
      <c r="G21" s="49"/>
      <c r="H21" s="50" t="s">
        <v>33</v>
      </c>
      <c r="I21" s="51">
        <v>8919</v>
      </c>
      <c r="J21" s="49">
        <v>8522</v>
      </c>
      <c r="K21" s="49">
        <v>397</v>
      </c>
      <c r="L21" s="49" t="str">
        <f>IF(4.32*0=0," ",TEXT(,ROUND((4.32*0*1),2)))</f>
        <v xml:space="preserve"> </v>
      </c>
      <c r="M21" s="49">
        <v>15.9</v>
      </c>
      <c r="N21" s="49">
        <v>68.69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 t="s">
        <v>34</v>
      </c>
      <c r="AB21" s="53" t="s">
        <v>35</v>
      </c>
      <c r="AC21" s="53">
        <v>7158</v>
      </c>
      <c r="AD21" s="53">
        <v>4091</v>
      </c>
      <c r="AE21" s="53"/>
      <c r="AF21" s="54" t="s">
        <v>36</v>
      </c>
      <c r="AG21" s="53" t="s">
        <v>37</v>
      </c>
      <c r="AH21" s="53"/>
      <c r="AI21" s="53">
        <f>8522+0</f>
        <v>8522</v>
      </c>
    </row>
    <row r="22" spans="1:35" ht="105.6" x14ac:dyDescent="0.25">
      <c r="A22" s="46">
        <v>2</v>
      </c>
      <c r="B22" s="47" t="s">
        <v>38</v>
      </c>
      <c r="C22" s="48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847 руб. НР 71%=83%*0,85 от ФОТ (1193 руб.)
620 руб.СП 52%=65%*0,8 от ФОТ (1193 руб.)
</v>
      </c>
      <c r="D22" s="46">
        <v>1.06</v>
      </c>
      <c r="E22" s="49" t="s">
        <v>39</v>
      </c>
      <c r="F22" s="49">
        <v>0.2</v>
      </c>
      <c r="G22" s="49"/>
      <c r="H22" s="50" t="s">
        <v>40</v>
      </c>
      <c r="I22" s="51">
        <v>1193</v>
      </c>
      <c r="J22" s="49">
        <v>1193</v>
      </c>
      <c r="K22" s="49"/>
      <c r="L22" s="49" t="str">
        <f>IF(1.06*0=0," ",TEXT(,ROUND((1.06*0*1),2)))</f>
        <v xml:space="preserve"> </v>
      </c>
      <c r="M22" s="49">
        <v>9.1</v>
      </c>
      <c r="N22" s="49">
        <v>9.65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 t="s">
        <v>41</v>
      </c>
      <c r="AB22" s="53" t="s">
        <v>42</v>
      </c>
      <c r="AC22" s="53">
        <v>847</v>
      </c>
      <c r="AD22" s="53">
        <v>620</v>
      </c>
      <c r="AE22" s="53"/>
      <c r="AF22" s="54" t="s">
        <v>43</v>
      </c>
      <c r="AG22" s="53" t="s">
        <v>44</v>
      </c>
      <c r="AH22" s="53"/>
      <c r="AI22" s="53">
        <f>1193+0</f>
        <v>1193</v>
      </c>
    </row>
    <row r="23" spans="1:35" ht="92.4" x14ac:dyDescent="0.25">
      <c r="A23" s="46">
        <v>3</v>
      </c>
      <c r="B23" s="47" t="s">
        <v>45</v>
      </c>
      <c r="C23" s="48" t="str">
        <f t="shared" ca="1" si="0"/>
        <v xml:space="preserve">Разборка подшивки потолков: чистой из строганных досок
100 м2 подшивки
2439 руб. НР 72%=85%*0,85 от ФОТ (3387 руб.)
2168 руб.СП 64%=80%*0,8 от ФОТ (3387 руб.)
</v>
      </c>
      <c r="D23" s="46">
        <v>0.93</v>
      </c>
      <c r="E23" s="49" t="s">
        <v>46</v>
      </c>
      <c r="F23" s="49" t="s">
        <v>47</v>
      </c>
      <c r="G23" s="49"/>
      <c r="H23" s="50" t="s">
        <v>48</v>
      </c>
      <c r="I23" s="51">
        <v>3390</v>
      </c>
      <c r="J23" s="49">
        <v>3228</v>
      </c>
      <c r="K23" s="49" t="s">
        <v>49</v>
      </c>
      <c r="L23" s="49" t="str">
        <f>IF(0.93*0=0," ",TEXT(,ROUND((0.93*0*1),2)))</f>
        <v xml:space="preserve"> </v>
      </c>
      <c r="M23" s="49" t="s">
        <v>50</v>
      </c>
      <c r="N23" s="49" t="s">
        <v>51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 t="s">
        <v>52</v>
      </c>
      <c r="AB23" s="53" t="s">
        <v>53</v>
      </c>
      <c r="AC23" s="53">
        <v>2439</v>
      </c>
      <c r="AD23" s="53">
        <v>2168</v>
      </c>
      <c r="AE23" s="53"/>
      <c r="AF23" s="54" t="s">
        <v>54</v>
      </c>
      <c r="AG23" s="53" t="s">
        <v>55</v>
      </c>
      <c r="AH23" s="53"/>
      <c r="AI23" s="53">
        <f>3228+159</f>
        <v>3387</v>
      </c>
    </row>
    <row r="24" spans="1:35" ht="92.4" x14ac:dyDescent="0.25">
      <c r="A24" s="46">
        <v>4</v>
      </c>
      <c r="B24" s="47" t="s">
        <v>56</v>
      </c>
      <c r="C24" s="48" t="str">
        <f t="shared" ca="1" si="0"/>
        <v xml:space="preserve">Разборка деревянных элементов конструкций крыш: обрешетки из брусков с прозорами
100 м2 кровли
6175 руб. НР 71%=83%*0,85 от ФОТ (8697 руб.)
4522 руб.СП 52%=65%*0,8 от ФОТ (8697 руб.)
</v>
      </c>
      <c r="D24" s="46">
        <v>4.32</v>
      </c>
      <c r="E24" s="49" t="s">
        <v>57</v>
      </c>
      <c r="F24" s="49" t="s">
        <v>58</v>
      </c>
      <c r="G24" s="49"/>
      <c r="H24" s="50" t="s">
        <v>59</v>
      </c>
      <c r="I24" s="51">
        <v>10337</v>
      </c>
      <c r="J24" s="49">
        <v>8268</v>
      </c>
      <c r="K24" s="49" t="s">
        <v>60</v>
      </c>
      <c r="L24" s="49" t="str">
        <f>IF(4.32*0=0," ",TEXT(,ROUND((4.32*0*1),2)))</f>
        <v xml:space="preserve"> </v>
      </c>
      <c r="M24" s="49" t="s">
        <v>61</v>
      </c>
      <c r="N24" s="49" t="s">
        <v>62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 t="s">
        <v>41</v>
      </c>
      <c r="AB24" s="53" t="s">
        <v>42</v>
      </c>
      <c r="AC24" s="53">
        <v>6175</v>
      </c>
      <c r="AD24" s="53">
        <v>4522</v>
      </c>
      <c r="AE24" s="53"/>
      <c r="AF24" s="54" t="s">
        <v>63</v>
      </c>
      <c r="AG24" s="53" t="s">
        <v>64</v>
      </c>
      <c r="AH24" s="53"/>
      <c r="AI24" s="53">
        <f>8268+429</f>
        <v>8697</v>
      </c>
    </row>
    <row r="25" spans="1:35" ht="118.8" x14ac:dyDescent="0.25">
      <c r="A25" s="46">
        <v>5</v>
      </c>
      <c r="B25" s="47" t="s">
        <v>65</v>
      </c>
      <c r="C25" s="48" t="str">
        <f t="shared" ca="1" si="0"/>
        <v xml:space="preserve">Разборка деревянных прогонов, защитного и рабочего настила покрытия
100 м2
28862 руб. НР 84%=110%*(0,85*0,9) от ФОТ (34360 руб.)
16493 руб.СП 48%=70%*(0,8*0,85) от ФОТ (34360 руб.)
</v>
      </c>
      <c r="D25" s="46">
        <v>4.32</v>
      </c>
      <c r="E25" s="49" t="s">
        <v>66</v>
      </c>
      <c r="F25" s="49" t="s">
        <v>67</v>
      </c>
      <c r="G25" s="49"/>
      <c r="H25" s="50" t="s">
        <v>68</v>
      </c>
      <c r="I25" s="51">
        <v>34530</v>
      </c>
      <c r="J25" s="49">
        <v>28668</v>
      </c>
      <c r="K25" s="49" t="s">
        <v>69</v>
      </c>
      <c r="L25" s="49" t="str">
        <f>IF(4.32*0=0," ",TEXT(,ROUND((4.32*0*1),2)))</f>
        <v xml:space="preserve"> </v>
      </c>
      <c r="M25" s="49" t="s">
        <v>70</v>
      </c>
      <c r="N25" s="49" t="s">
        <v>71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 t="s">
        <v>34</v>
      </c>
      <c r="AB25" s="53" t="s">
        <v>35</v>
      </c>
      <c r="AC25" s="53">
        <v>28862</v>
      </c>
      <c r="AD25" s="53">
        <v>16493</v>
      </c>
      <c r="AE25" s="53"/>
      <c r="AF25" s="54" t="s">
        <v>72</v>
      </c>
      <c r="AG25" s="53" t="s">
        <v>73</v>
      </c>
      <c r="AH25" s="53"/>
      <c r="AI25" s="53">
        <f>28668+5692</f>
        <v>34360</v>
      </c>
    </row>
    <row r="26" spans="1:35" ht="92.4" x14ac:dyDescent="0.25">
      <c r="A26" s="46">
        <v>6</v>
      </c>
      <c r="B26" s="47" t="s">
        <v>74</v>
      </c>
      <c r="C26" s="48" t="str">
        <f t="shared" ca="1" si="0"/>
        <v xml:space="preserve">Разборка слуховых окон: прямоугольных двускатных
100 окон
305 руб. НР 71%=83%*0,85 от ФОТ (429 руб.)
223 руб.СП 52%=65%*0,8 от ФОТ (429 руб.)
</v>
      </c>
      <c r="D26" s="46">
        <v>0.01</v>
      </c>
      <c r="E26" s="49" t="s">
        <v>75</v>
      </c>
      <c r="F26" s="49">
        <v>10.37</v>
      </c>
      <c r="G26" s="49"/>
      <c r="H26" s="50" t="s">
        <v>76</v>
      </c>
      <c r="I26" s="51">
        <v>429</v>
      </c>
      <c r="J26" s="49">
        <v>429</v>
      </c>
      <c r="K26" s="49"/>
      <c r="L26" s="49" t="str">
        <f>IF(0.01*0=0," ",TEXT(,ROUND((0.01*0*1),2)))</f>
        <v xml:space="preserve"> </v>
      </c>
      <c r="M26" s="49">
        <v>341.3</v>
      </c>
      <c r="N26" s="49">
        <v>3.41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 t="s">
        <v>41</v>
      </c>
      <c r="AB26" s="53" t="s">
        <v>42</v>
      </c>
      <c r="AC26" s="53">
        <v>305</v>
      </c>
      <c r="AD26" s="53">
        <v>223</v>
      </c>
      <c r="AE26" s="53"/>
      <c r="AF26" s="54" t="s">
        <v>77</v>
      </c>
      <c r="AG26" s="53" t="s">
        <v>78</v>
      </c>
      <c r="AH26" s="53"/>
      <c r="AI26" s="53">
        <f>429+0</f>
        <v>429</v>
      </c>
    </row>
    <row r="27" spans="1:35" ht="92.4" x14ac:dyDescent="0.25">
      <c r="A27" s="46">
        <v>7</v>
      </c>
      <c r="B27" s="47" t="s">
        <v>79</v>
      </c>
      <c r="C27" s="48" t="str">
        <f t="shared" ca="1" si="0"/>
        <v xml:space="preserve">Разборка деревянных элементов конструкций крыш: стропил со стойками и подкосами из досок
100 м2 кровли
1377 руб. НР 71%=83%*0,85 от ФОТ (1940 руб.)
1009 руб.СП 52%=65%*0,8 от ФОТ (1940 руб.)
</v>
      </c>
      <c r="D27" s="46">
        <v>0.65</v>
      </c>
      <c r="E27" s="49" t="s">
        <v>80</v>
      </c>
      <c r="F27" s="49" t="s">
        <v>81</v>
      </c>
      <c r="G27" s="49"/>
      <c r="H27" s="50" t="s">
        <v>59</v>
      </c>
      <c r="I27" s="51">
        <v>2086</v>
      </c>
      <c r="J27" s="49">
        <v>1892</v>
      </c>
      <c r="K27" s="49" t="s">
        <v>82</v>
      </c>
      <c r="L27" s="49" t="str">
        <f>IF(0.65*0=0," ",TEXT(,ROUND((0.65*0*1),2)))</f>
        <v xml:space="preserve"> </v>
      </c>
      <c r="M27" s="49" t="s">
        <v>83</v>
      </c>
      <c r="N27" s="49" t="s">
        <v>84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 t="s">
        <v>41</v>
      </c>
      <c r="AB27" s="53" t="s">
        <v>42</v>
      </c>
      <c r="AC27" s="53">
        <v>1377</v>
      </c>
      <c r="AD27" s="53">
        <v>1009</v>
      </c>
      <c r="AE27" s="53"/>
      <c r="AF27" s="54" t="s">
        <v>85</v>
      </c>
      <c r="AG27" s="53" t="s">
        <v>64</v>
      </c>
      <c r="AH27" s="53"/>
      <c r="AI27" s="53">
        <f>1892+48</f>
        <v>1940</v>
      </c>
    </row>
    <row r="28" spans="1:35" ht="158.4" x14ac:dyDescent="0.25">
      <c r="A28" s="46">
        <v>8</v>
      </c>
      <c r="B28" s="47" t="s">
        <v>86</v>
      </c>
      <c r="C28" s="48" t="str">
        <f t="shared" ca="1" si="0"/>
        <v xml:space="preserve">Демонтаж люков в перекрытиях, площадь проема до 2 м2 0,071*2=0,142 т
100 м2 проемов
(Демонтаж (разборка) сборных деревянных конструкций ОЗП=0,8; ЭМ=0,8 к расх.; ЗПМ=0,8; МАТ=0 к расх.; ТЗ=0,8; ТЗМ=0,8)
129 руб. НР 90%=118%*(0,85*0,9) от ФОТ (143 руб.)
61 руб.СП 43%=63%*(0,8*0,85) от ФОТ (143 руб.)
</v>
      </c>
      <c r="D28" s="46">
        <v>0.01</v>
      </c>
      <c r="E28" s="49" t="s">
        <v>87</v>
      </c>
      <c r="F28" s="49" t="s">
        <v>88</v>
      </c>
      <c r="G28" s="49"/>
      <c r="H28" s="50" t="s">
        <v>89</v>
      </c>
      <c r="I28" s="51">
        <v>222</v>
      </c>
      <c r="J28" s="49">
        <v>127</v>
      </c>
      <c r="K28" s="49" t="s">
        <v>90</v>
      </c>
      <c r="L28" s="49" t="str">
        <f>IF(0.01*0=0," ",TEXT(,ROUND((0.01*0*5.87),2)))</f>
        <v xml:space="preserve"> </v>
      </c>
      <c r="M28" s="49" t="s">
        <v>91</v>
      </c>
      <c r="N28" s="49" t="s">
        <v>92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 t="s">
        <v>93</v>
      </c>
      <c r="AB28" s="53" t="s">
        <v>94</v>
      </c>
      <c r="AC28" s="53">
        <v>129</v>
      </c>
      <c r="AD28" s="53">
        <v>61</v>
      </c>
      <c r="AE28" s="53" t="s">
        <v>95</v>
      </c>
      <c r="AF28" s="54" t="s">
        <v>96</v>
      </c>
      <c r="AG28" s="53" t="s">
        <v>97</v>
      </c>
      <c r="AH28" s="53"/>
      <c r="AI28" s="53">
        <f>127+16</f>
        <v>143</v>
      </c>
    </row>
    <row r="29" spans="1:35" ht="105.6" x14ac:dyDescent="0.25">
      <c r="A29" s="46">
        <v>9</v>
      </c>
      <c r="B29" s="47" t="s">
        <v>98</v>
      </c>
      <c r="C29" s="48" t="str">
        <f t="shared" ca="1" si="0"/>
        <v xml:space="preserve">Разборка: кирпичных стен 1,8*1,8=3,24 т
1 м3
2030 руб. НР 84%=110%*(0,85*0,9) от ФОТ (2417 руб.)
1160 руб.СП 48%=70%*(0,8*0,85) от ФОТ (2417 руб.)
</v>
      </c>
      <c r="D29" s="46">
        <v>1.8</v>
      </c>
      <c r="E29" s="49" t="s">
        <v>99</v>
      </c>
      <c r="F29" s="49" t="s">
        <v>100</v>
      </c>
      <c r="G29" s="49"/>
      <c r="H29" s="50" t="s">
        <v>101</v>
      </c>
      <c r="I29" s="51">
        <v>3077</v>
      </c>
      <c r="J29" s="49">
        <v>2083</v>
      </c>
      <c r="K29" s="49" t="s">
        <v>102</v>
      </c>
      <c r="L29" s="49" t="str">
        <f>IF(1.8*0=0," ",TEXT(,ROUND((1.8*0*1),2)))</f>
        <v xml:space="preserve"> </v>
      </c>
      <c r="M29" s="49" t="s">
        <v>103</v>
      </c>
      <c r="N29" s="49" t="s">
        <v>104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 t="s">
        <v>34</v>
      </c>
      <c r="AB29" s="53" t="s">
        <v>35</v>
      </c>
      <c r="AC29" s="53">
        <v>2030</v>
      </c>
      <c r="AD29" s="53">
        <v>1160</v>
      </c>
      <c r="AE29" s="53"/>
      <c r="AF29" s="54" t="s">
        <v>105</v>
      </c>
      <c r="AG29" s="53" t="s">
        <v>106</v>
      </c>
      <c r="AH29" s="53"/>
      <c r="AI29" s="53">
        <f>2083+334</f>
        <v>2417</v>
      </c>
    </row>
    <row r="30" spans="1:35" ht="79.2" x14ac:dyDescent="0.25">
      <c r="A30" s="46">
        <v>10</v>
      </c>
      <c r="B30" s="47" t="s">
        <v>107</v>
      </c>
      <c r="C30" s="48" t="str">
        <f t="shared" ca="1" si="0"/>
        <v xml:space="preserve">Затаривание строительного мусора в мешки Шлак
1 т
2728 руб. НР 66%=78%*0,85 от ФОТ (4134 руб.)
1654 руб.СП 40%=50%*0,8 от ФОТ (4134 руб.)
</v>
      </c>
      <c r="D30" s="46" t="s">
        <v>108</v>
      </c>
      <c r="E30" s="49" t="s">
        <v>109</v>
      </c>
      <c r="F30" s="49"/>
      <c r="G30" s="49">
        <v>16.399999999999999</v>
      </c>
      <c r="H30" s="50" t="s">
        <v>110</v>
      </c>
      <c r="I30" s="51">
        <v>7773</v>
      </c>
      <c r="J30" s="49">
        <v>4134</v>
      </c>
      <c r="K30" s="49"/>
      <c r="L30" s="49" t="str">
        <f>IF(35.04*16.4=0," ",TEXT(,ROUND((35.04*16.4*6.33),2)))</f>
        <v>3637.57</v>
      </c>
      <c r="M30" s="49">
        <v>1.03</v>
      </c>
      <c r="N30" s="49">
        <v>36.090000000000003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 t="s">
        <v>111</v>
      </c>
      <c r="AB30" s="53" t="s">
        <v>112</v>
      </c>
      <c r="AC30" s="53">
        <v>2728</v>
      </c>
      <c r="AD30" s="53">
        <v>1654</v>
      </c>
      <c r="AE30" s="53"/>
      <c r="AF30" s="54" t="s">
        <v>113</v>
      </c>
      <c r="AG30" s="53" t="s">
        <v>114</v>
      </c>
      <c r="AH30" s="53"/>
      <c r="AI30" s="53">
        <f>4134+0</f>
        <v>4134</v>
      </c>
    </row>
    <row r="31" spans="1:35" ht="79.2" x14ac:dyDescent="0.25">
      <c r="A31" s="46">
        <v>11</v>
      </c>
      <c r="B31" s="47" t="s">
        <v>115</v>
      </c>
      <c r="C31" s="48" t="str">
        <f t="shared" ca="1" si="0"/>
        <v xml:space="preserve">Очистка помещений от строительного мусора
100 т мусора
5709 руб. НР 66%=78%*0,85 от ФОТ (8650 руб.)
3460 руб.СП 40%=50%*0,8 от ФОТ (8650 руб.)
</v>
      </c>
      <c r="D31" s="46">
        <v>0.35039999999999999</v>
      </c>
      <c r="E31" s="49" t="s">
        <v>116</v>
      </c>
      <c r="F31" s="49"/>
      <c r="G31" s="49"/>
      <c r="H31" s="50" t="s">
        <v>117</v>
      </c>
      <c r="I31" s="51">
        <v>8650</v>
      </c>
      <c r="J31" s="49">
        <v>8650</v>
      </c>
      <c r="K31" s="49"/>
      <c r="L31" s="49" t="str">
        <f>IF(0.3504*0=0," ",TEXT(,ROUND((0.3504*0*1),2)))</f>
        <v xml:space="preserve"> </v>
      </c>
      <c r="M31" s="49">
        <v>214.32</v>
      </c>
      <c r="N31" s="49">
        <v>75.099999999999994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 t="s">
        <v>111</v>
      </c>
      <c r="AB31" s="53" t="s">
        <v>112</v>
      </c>
      <c r="AC31" s="53">
        <v>5709</v>
      </c>
      <c r="AD31" s="53">
        <v>3460</v>
      </c>
      <c r="AE31" s="53"/>
      <c r="AF31" s="54" t="s">
        <v>118</v>
      </c>
      <c r="AG31" s="53" t="s">
        <v>119</v>
      </c>
      <c r="AH31" s="53"/>
      <c r="AI31" s="53">
        <f>8650+0</f>
        <v>8650</v>
      </c>
    </row>
    <row r="32" spans="1:35" ht="118.8" x14ac:dyDescent="0.25">
      <c r="A32" s="46">
        <v>12</v>
      </c>
      <c r="B32" s="47" t="s">
        <v>120</v>
      </c>
      <c r="C32" s="48" t="str">
        <f t="shared" ca="1" si="0"/>
        <v xml:space="preserve">Разборка покрытий кровель: из рулонных материалов
100 м2 покрытия
6478 руб. НР 84%=110%*(0,85*0,9) от ФОТ (7712 руб.)
3702 руб.СП 48%=70%*(0,8*0,85) от ФОТ (7712 руб.)
</v>
      </c>
      <c r="D32" s="46">
        <v>4.32</v>
      </c>
      <c r="E32" s="49" t="s">
        <v>121</v>
      </c>
      <c r="F32" s="49">
        <v>41.43</v>
      </c>
      <c r="G32" s="49"/>
      <c r="H32" s="50" t="s">
        <v>33</v>
      </c>
      <c r="I32" s="51">
        <v>8251</v>
      </c>
      <c r="J32" s="49">
        <v>7712</v>
      </c>
      <c r="K32" s="49">
        <v>539</v>
      </c>
      <c r="L32" s="49" t="str">
        <f>IF(4.32*0=0," ",TEXT(,ROUND((4.32*0*1),2)))</f>
        <v xml:space="preserve"> </v>
      </c>
      <c r="M32" s="49">
        <v>14.38</v>
      </c>
      <c r="N32" s="49">
        <v>62.12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 t="s">
        <v>34</v>
      </c>
      <c r="AB32" s="53" t="s">
        <v>35</v>
      </c>
      <c r="AC32" s="53">
        <v>6478</v>
      </c>
      <c r="AD32" s="53">
        <v>3702</v>
      </c>
      <c r="AE32" s="53"/>
      <c r="AF32" s="54" t="s">
        <v>122</v>
      </c>
      <c r="AG32" s="53" t="s">
        <v>37</v>
      </c>
      <c r="AH32" s="53"/>
      <c r="AI32" s="53">
        <f>7712+0</f>
        <v>7712</v>
      </c>
    </row>
    <row r="33" spans="1:35" ht="118.8" x14ac:dyDescent="0.25">
      <c r="A33" s="55">
        <v>13</v>
      </c>
      <c r="B33" s="56" t="s">
        <v>123</v>
      </c>
      <c r="C33" s="57" t="str">
        <f t="shared" ca="1" si="0"/>
        <v xml:space="preserve">Разборка покрытий кровель: из рулонных материалов
100 м2 покрытия
5677 руб. НР 84%=110%*(0,85*0,9) от ФОТ (6758 руб.)
3244 руб.СП 48%=70%*(0,8*0,85) от ФОТ (6758 руб.)
</v>
      </c>
      <c r="D33" s="55">
        <v>3.79</v>
      </c>
      <c r="E33" s="58" t="s">
        <v>121</v>
      </c>
      <c r="F33" s="58">
        <v>41.43</v>
      </c>
      <c r="G33" s="58"/>
      <c r="H33" s="59" t="s">
        <v>33</v>
      </c>
      <c r="I33" s="60">
        <v>7231</v>
      </c>
      <c r="J33" s="58">
        <v>6758</v>
      </c>
      <c r="K33" s="58">
        <v>473</v>
      </c>
      <c r="L33" s="58" t="str">
        <f>IF(3.79*0=0," ",TEXT(,ROUND((3.79*0*1),2)))</f>
        <v xml:space="preserve"> </v>
      </c>
      <c r="M33" s="58">
        <v>14.38</v>
      </c>
      <c r="N33" s="58">
        <v>54.5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3" t="s">
        <v>34</v>
      </c>
      <c r="AB33" s="53" t="s">
        <v>35</v>
      </c>
      <c r="AC33" s="53">
        <v>5677</v>
      </c>
      <c r="AD33" s="53">
        <v>3244</v>
      </c>
      <c r="AE33" s="53"/>
      <c r="AF33" s="54" t="s">
        <v>122</v>
      </c>
      <c r="AG33" s="53" t="s">
        <v>37</v>
      </c>
      <c r="AH33" s="53"/>
      <c r="AI33" s="53">
        <f>6758+0</f>
        <v>6758</v>
      </c>
    </row>
    <row r="34" spans="1:35" ht="26.4" x14ac:dyDescent="0.25">
      <c r="A34" s="86" t="s">
        <v>124</v>
      </c>
      <c r="B34" s="87"/>
      <c r="C34" s="87"/>
      <c r="D34" s="87"/>
      <c r="E34" s="87"/>
      <c r="F34" s="87"/>
      <c r="G34" s="87"/>
      <c r="H34" s="87"/>
      <c r="I34" s="51">
        <v>7427</v>
      </c>
      <c r="J34" s="49">
        <v>5136</v>
      </c>
      <c r="K34" s="49" t="s">
        <v>125</v>
      </c>
      <c r="L34" s="49">
        <v>575</v>
      </c>
      <c r="M34" s="49"/>
      <c r="N34" s="49" t="s">
        <v>126</v>
      </c>
      <c r="O34" s="18"/>
      <c r="P34" s="19"/>
      <c r="Q34" s="18"/>
      <c r="R34" s="18"/>
      <c r="S34" s="18"/>
      <c r="T34" s="18"/>
      <c r="U34" s="18"/>
      <c r="V34" s="18"/>
      <c r="W34" s="18"/>
      <c r="X34" s="18"/>
      <c r="Y34" s="18"/>
      <c r="Z34" s="18"/>
      <c r="AF34" s="4"/>
    </row>
    <row r="35" spans="1:35" ht="26.4" x14ac:dyDescent="0.25">
      <c r="A35" s="86" t="s">
        <v>127</v>
      </c>
      <c r="B35" s="87"/>
      <c r="C35" s="87"/>
      <c r="D35" s="87"/>
      <c r="E35" s="87"/>
      <c r="F35" s="87"/>
      <c r="G35" s="87"/>
      <c r="H35" s="87"/>
      <c r="I35" s="51">
        <v>96086</v>
      </c>
      <c r="J35" s="49">
        <v>81663</v>
      </c>
      <c r="K35" s="49" t="s">
        <v>128</v>
      </c>
      <c r="L35" s="49">
        <v>3640</v>
      </c>
      <c r="M35" s="49"/>
      <c r="N35" s="49" t="s">
        <v>126</v>
      </c>
      <c r="O35" s="18"/>
      <c r="P35" s="19"/>
      <c r="Q35" s="18"/>
      <c r="R35" s="18"/>
      <c r="S35" s="18"/>
      <c r="T35" s="18"/>
      <c r="U35" s="18"/>
      <c r="V35" s="18"/>
      <c r="W35" s="18"/>
      <c r="X35" s="18"/>
      <c r="Y35" s="18"/>
      <c r="Z35" s="18"/>
      <c r="AF35" s="4"/>
    </row>
    <row r="36" spans="1:35" x14ac:dyDescent="0.25">
      <c r="A36" s="86" t="s">
        <v>129</v>
      </c>
      <c r="B36" s="87"/>
      <c r="C36" s="87"/>
      <c r="D36" s="87"/>
      <c r="E36" s="87"/>
      <c r="F36" s="87"/>
      <c r="G36" s="87"/>
      <c r="H36" s="87"/>
      <c r="I36" s="51">
        <v>69914</v>
      </c>
      <c r="J36" s="49"/>
      <c r="K36" s="49"/>
      <c r="L36" s="49"/>
      <c r="M36" s="49"/>
      <c r="N36" s="49"/>
      <c r="O36" s="18"/>
      <c r="P36" s="19"/>
      <c r="Q36" s="18"/>
      <c r="R36" s="18"/>
      <c r="S36" s="18"/>
      <c r="T36" s="5"/>
      <c r="U36" s="5"/>
      <c r="V36" s="5"/>
      <c r="W36" s="5"/>
      <c r="X36" s="5"/>
      <c r="Y36" s="5"/>
      <c r="Z36" s="5"/>
    </row>
    <row r="37" spans="1:35" x14ac:dyDescent="0.25">
      <c r="A37" s="86" t="s">
        <v>130</v>
      </c>
      <c r="B37" s="87"/>
      <c r="C37" s="87"/>
      <c r="D37" s="87"/>
      <c r="E37" s="87"/>
      <c r="F37" s="87"/>
      <c r="G37" s="87"/>
      <c r="H37" s="87"/>
      <c r="I37" s="51">
        <v>42407</v>
      </c>
      <c r="J37" s="49"/>
      <c r="K37" s="49"/>
      <c r="L37" s="49"/>
      <c r="M37" s="49"/>
      <c r="N37" s="49"/>
      <c r="O37" s="18"/>
      <c r="P37" s="19"/>
      <c r="Q37" s="18"/>
      <c r="R37" s="18"/>
      <c r="S37" s="18"/>
    </row>
    <row r="38" spans="1:35" ht="26.4" x14ac:dyDescent="0.25">
      <c r="A38" s="90" t="s">
        <v>131</v>
      </c>
      <c r="B38" s="91"/>
      <c r="C38" s="91"/>
      <c r="D38" s="91"/>
      <c r="E38" s="91"/>
      <c r="F38" s="91"/>
      <c r="G38" s="91"/>
      <c r="H38" s="91"/>
      <c r="I38" s="61">
        <v>208407</v>
      </c>
      <c r="J38" s="62"/>
      <c r="K38" s="62"/>
      <c r="L38" s="62"/>
      <c r="M38" s="62"/>
      <c r="N38" s="62" t="s">
        <v>126</v>
      </c>
      <c r="O38" s="18"/>
      <c r="P38" s="19"/>
      <c r="Q38" s="18"/>
      <c r="R38" s="18"/>
      <c r="S38" s="18"/>
    </row>
    <row r="39" spans="1:35" ht="21" customHeight="1" x14ac:dyDescent="0.25">
      <c r="A39" s="88" t="s">
        <v>132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</row>
    <row r="40" spans="1:35" ht="92.4" x14ac:dyDescent="0.25">
      <c r="A40" s="46">
        <v>14</v>
      </c>
      <c r="B40" s="47" t="s">
        <v>133</v>
      </c>
      <c r="C40" s="48" t="str">
        <f t="shared" ref="C40:C64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Устройство покрытия из рулонных материалов: насухо без промазки кромок
100 м2 кровли
1546 руб. НР 71%=83%*0,85 от ФОТ (2178 руб.)
1133 руб.СП 52%=65%*0,8 от ФОТ (2178 руб.)
</v>
      </c>
      <c r="D40" s="46">
        <v>3.79</v>
      </c>
      <c r="E40" s="49" t="s">
        <v>134</v>
      </c>
      <c r="F40" s="49">
        <v>5.23</v>
      </c>
      <c r="G40" s="49">
        <v>883.33</v>
      </c>
      <c r="H40" s="50" t="s">
        <v>135</v>
      </c>
      <c r="I40" s="51">
        <v>19853</v>
      </c>
      <c r="J40" s="49">
        <v>2178</v>
      </c>
      <c r="K40" s="49">
        <v>232</v>
      </c>
      <c r="L40" s="49" t="str">
        <f>IF(3.79*883.33=0," ",TEXT(,ROUND((3.79*883.33*5.21),2)))</f>
        <v>17442.15</v>
      </c>
      <c r="M40" s="49">
        <v>4.5199999999999996</v>
      </c>
      <c r="N40" s="49">
        <v>17.13</v>
      </c>
      <c r="O40" s="52"/>
      <c r="P40" s="52"/>
      <c r="Q40" s="52"/>
      <c r="R40" s="52"/>
      <c r="S40" s="52"/>
      <c r="T40" s="53"/>
      <c r="U40" s="53"/>
      <c r="V40" s="53"/>
      <c r="W40" s="53"/>
      <c r="X40" s="53"/>
      <c r="Y40" s="53"/>
      <c r="Z40" s="53"/>
      <c r="AA40" s="53" t="s">
        <v>41</v>
      </c>
      <c r="AB40" s="53" t="s">
        <v>42</v>
      </c>
      <c r="AC40" s="53">
        <v>1546</v>
      </c>
      <c r="AD40" s="53">
        <v>1133</v>
      </c>
      <c r="AE40" s="53"/>
      <c r="AF40" s="53" t="s">
        <v>136</v>
      </c>
      <c r="AG40" s="53" t="s">
        <v>64</v>
      </c>
      <c r="AH40" s="53"/>
      <c r="AI40" s="53">
        <f>2178+0</f>
        <v>2178</v>
      </c>
    </row>
    <row r="41" spans="1:35" ht="66" x14ac:dyDescent="0.25">
      <c r="A41" s="46">
        <v>15</v>
      </c>
      <c r="B41" s="47" t="s">
        <v>137</v>
      </c>
      <c r="C41" s="48" t="str">
        <f t="shared" ca="1" si="1"/>
        <v xml:space="preserve">Рубероид кровельный с крупнозернистой посыпкой марки: РКК-350б
м2
</v>
      </c>
      <c r="D41" s="46">
        <v>-435.9</v>
      </c>
      <c r="E41" s="49">
        <v>7.46</v>
      </c>
      <c r="F41" s="49"/>
      <c r="G41" s="49">
        <v>7.46</v>
      </c>
      <c r="H41" s="50" t="s">
        <v>138</v>
      </c>
      <c r="I41" s="51">
        <v>-17024</v>
      </c>
      <c r="J41" s="49"/>
      <c r="K41" s="49"/>
      <c r="L41" s="49" t="str">
        <f>IF(-435.9*7.46=0," ",TEXT(,ROUND((-435.9*7.46*5.235),2)))</f>
        <v>-17023.25</v>
      </c>
      <c r="M41" s="49"/>
      <c r="N41" s="49"/>
      <c r="O41" s="52"/>
      <c r="P41" s="52"/>
      <c r="Q41" s="52"/>
      <c r="R41" s="52"/>
      <c r="S41" s="52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 t="s">
        <v>139</v>
      </c>
      <c r="AG41" s="53" t="s">
        <v>140</v>
      </c>
      <c r="AH41" s="53"/>
      <c r="AI41" s="53">
        <f>0+0</f>
        <v>0</v>
      </c>
    </row>
    <row r="42" spans="1:35" ht="52.8" x14ac:dyDescent="0.25">
      <c r="A42" s="46">
        <v>16</v>
      </c>
      <c r="B42" s="47" t="s">
        <v>141</v>
      </c>
      <c r="C42" s="48" t="str">
        <f t="shared" ca="1" si="1"/>
        <v xml:space="preserve">ИЗОСПАН: В
10 м2
</v>
      </c>
      <c r="D42" s="46">
        <v>43.59</v>
      </c>
      <c r="E42" s="49">
        <v>27.5</v>
      </c>
      <c r="F42" s="49"/>
      <c r="G42" s="49">
        <v>27.5</v>
      </c>
      <c r="H42" s="50" t="s">
        <v>142</v>
      </c>
      <c r="I42" s="51">
        <v>7001</v>
      </c>
      <c r="J42" s="49"/>
      <c r="K42" s="49"/>
      <c r="L42" s="49" t="str">
        <f>IF(43.59*27.5=0," ",TEXT(,ROUND((43.59*27.5*5.839),2)))</f>
        <v>6999.36</v>
      </c>
      <c r="M42" s="49"/>
      <c r="N42" s="49"/>
      <c r="O42" s="52"/>
      <c r="P42" s="52"/>
      <c r="Q42" s="52"/>
      <c r="R42" s="52"/>
      <c r="S42" s="52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 t="s">
        <v>143</v>
      </c>
      <c r="AG42" s="53" t="s">
        <v>144</v>
      </c>
      <c r="AH42" s="53"/>
      <c r="AI42" s="53">
        <f>0+0</f>
        <v>0</v>
      </c>
    </row>
    <row r="43" spans="1:35" ht="118.8" x14ac:dyDescent="0.25">
      <c r="A43" s="46">
        <v>17</v>
      </c>
      <c r="B43" s="47" t="s">
        <v>145</v>
      </c>
      <c r="C43" s="48" t="str">
        <f t="shared" ca="1" si="1"/>
        <v xml:space="preserve">Утепление покрытий плитами: из минеральной ваты или перлита на битумной мастике в один слой
100 м2 утепляемого покрытия
21694 руб. НР 92%=120%*(0,85*0,9) от ФОТ (23580 руб.)
10375 руб.СП 44%=65%*(0,8*0,85) от ФОТ (23580 руб.)
</v>
      </c>
      <c r="D43" s="46">
        <v>2.92</v>
      </c>
      <c r="E43" s="49" t="s">
        <v>146</v>
      </c>
      <c r="F43" s="49" t="s">
        <v>147</v>
      </c>
      <c r="G43" s="49">
        <v>4146.24</v>
      </c>
      <c r="H43" s="50" t="s">
        <v>148</v>
      </c>
      <c r="I43" s="51">
        <v>112357</v>
      </c>
      <c r="J43" s="49">
        <v>23135</v>
      </c>
      <c r="K43" s="49" t="s">
        <v>149</v>
      </c>
      <c r="L43" s="49" t="str">
        <f>IF(2.92*4146.24=0," ",TEXT(,ROUND((2.92*4146.24*7),2)))</f>
        <v>84749.15</v>
      </c>
      <c r="M43" s="49" t="s">
        <v>150</v>
      </c>
      <c r="N43" s="49" t="s">
        <v>151</v>
      </c>
      <c r="O43" s="52"/>
      <c r="P43" s="52"/>
      <c r="Q43" s="52"/>
      <c r="R43" s="52"/>
      <c r="S43" s="52"/>
      <c r="T43" s="53"/>
      <c r="U43" s="53"/>
      <c r="V43" s="53"/>
      <c r="W43" s="53"/>
      <c r="X43" s="53"/>
      <c r="Y43" s="53"/>
      <c r="Z43" s="53"/>
      <c r="AA43" s="53" t="s">
        <v>152</v>
      </c>
      <c r="AB43" s="53" t="s">
        <v>153</v>
      </c>
      <c r="AC43" s="53">
        <v>21694</v>
      </c>
      <c r="AD43" s="53">
        <v>10375</v>
      </c>
      <c r="AE43" s="53"/>
      <c r="AF43" s="53" t="s">
        <v>154</v>
      </c>
      <c r="AG43" s="53" t="s">
        <v>155</v>
      </c>
      <c r="AH43" s="53"/>
      <c r="AI43" s="53">
        <f>23135+445</f>
        <v>23580</v>
      </c>
    </row>
    <row r="44" spans="1:35" ht="52.8" x14ac:dyDescent="0.25">
      <c r="A44" s="46">
        <v>18</v>
      </c>
      <c r="B44" s="47" t="s">
        <v>156</v>
      </c>
      <c r="C44" s="48" t="str">
        <f t="shared" ca="1" si="1"/>
        <v xml:space="preserve">Котлы битумные передвижные 400 л
маш.-ч
</v>
      </c>
      <c r="D44" s="46">
        <v>-6.71</v>
      </c>
      <c r="E44" s="49">
        <v>30</v>
      </c>
      <c r="F44" s="49">
        <v>30</v>
      </c>
      <c r="G44" s="49"/>
      <c r="H44" s="50" t="s">
        <v>157</v>
      </c>
      <c r="I44" s="51">
        <v>-1437</v>
      </c>
      <c r="J44" s="49"/>
      <c r="K44" s="49">
        <v>-1437</v>
      </c>
      <c r="L44" s="49" t="str">
        <f>IF(-6.71*0=0," ",TEXT(,ROUND((-6.71*0*1),2)))</f>
        <v xml:space="preserve"> </v>
      </c>
      <c r="M44" s="49"/>
      <c r="N44" s="49"/>
      <c r="O44" s="52"/>
      <c r="P44" s="52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 t="s">
        <v>158</v>
      </c>
      <c r="AB44" s="53" t="s">
        <v>159</v>
      </c>
      <c r="AC44" s="53"/>
      <c r="AD44" s="53"/>
      <c r="AE44" s="53"/>
      <c r="AF44" s="53" t="s">
        <v>160</v>
      </c>
      <c r="AG44" s="53" t="s">
        <v>161</v>
      </c>
      <c r="AH44" s="53"/>
      <c r="AI44" s="53">
        <f>0+0</f>
        <v>0</v>
      </c>
    </row>
    <row r="45" spans="1:35" ht="66" x14ac:dyDescent="0.25">
      <c r="A45" s="46">
        <v>19</v>
      </c>
      <c r="B45" s="47" t="s">
        <v>162</v>
      </c>
      <c r="C45" s="48" t="str">
        <f t="shared" ca="1" si="1"/>
        <v xml:space="preserve">Битумы нефтяные строительные кровельные марки БНК-45/190, БНК-45/180
т
</v>
      </c>
      <c r="D45" s="46">
        <v>-7.2999999999999995E-2</v>
      </c>
      <c r="E45" s="49">
        <v>1530</v>
      </c>
      <c r="F45" s="49"/>
      <c r="G45" s="49">
        <v>1530</v>
      </c>
      <c r="H45" s="50" t="s">
        <v>163</v>
      </c>
      <c r="I45" s="51">
        <v>-1487</v>
      </c>
      <c r="J45" s="49"/>
      <c r="K45" s="49"/>
      <c r="L45" s="49" t="str">
        <f>IF(-0.073*1530=0," ",TEXT(,ROUND((-0.073*1530*13.273),2)))</f>
        <v>-1482.46</v>
      </c>
      <c r="M45" s="49"/>
      <c r="N45" s="49"/>
      <c r="O45" s="52"/>
      <c r="P45" s="52"/>
      <c r="Q45" s="52"/>
      <c r="R45" s="52"/>
      <c r="S45" s="52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 t="s">
        <v>164</v>
      </c>
      <c r="AG45" s="53" t="s">
        <v>165</v>
      </c>
      <c r="AH45" s="53"/>
      <c r="AI45" s="53">
        <f>0+0</f>
        <v>0</v>
      </c>
    </row>
    <row r="46" spans="1:35" ht="52.8" x14ac:dyDescent="0.25">
      <c r="A46" s="46">
        <v>20</v>
      </c>
      <c r="B46" s="47" t="s">
        <v>166</v>
      </c>
      <c r="C46" s="48" t="str">
        <f t="shared" ca="1" si="1"/>
        <v xml:space="preserve">Керосин для технических целей марок КТ-1, КТ-2
т
</v>
      </c>
      <c r="D46" s="46">
        <v>-0.1694</v>
      </c>
      <c r="E46" s="49">
        <v>2606.9</v>
      </c>
      <c r="F46" s="49"/>
      <c r="G46" s="49">
        <v>2606.9</v>
      </c>
      <c r="H46" s="50" t="s">
        <v>167</v>
      </c>
      <c r="I46" s="51">
        <v>-9914</v>
      </c>
      <c r="J46" s="49"/>
      <c r="K46" s="49"/>
      <c r="L46" s="49" t="str">
        <f>IF(-0.1694*2606.9=0," ",TEXT(,ROUND((-0.1694*2606.9*22.429),2)))</f>
        <v>-9904.85</v>
      </c>
      <c r="M46" s="49"/>
      <c r="N46" s="49"/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 t="s">
        <v>168</v>
      </c>
      <c r="AG46" s="53" t="s">
        <v>165</v>
      </c>
      <c r="AH46" s="53"/>
      <c r="AI46" s="53">
        <f>0+0</f>
        <v>0</v>
      </c>
    </row>
    <row r="47" spans="1:35" ht="52.8" x14ac:dyDescent="0.25">
      <c r="A47" s="46">
        <v>21</v>
      </c>
      <c r="B47" s="47" t="s">
        <v>169</v>
      </c>
      <c r="C47" s="48" t="str">
        <f t="shared" ca="1" si="1"/>
        <v xml:space="preserve">Мастика битумная кровельная горячая
т
</v>
      </c>
      <c r="D47" s="46">
        <v>-0.58689999999999998</v>
      </c>
      <c r="E47" s="49">
        <v>3390</v>
      </c>
      <c r="F47" s="49"/>
      <c r="G47" s="49">
        <v>3390</v>
      </c>
      <c r="H47" s="50" t="s">
        <v>170</v>
      </c>
      <c r="I47" s="51">
        <v>-20226</v>
      </c>
      <c r="J47" s="49"/>
      <c r="K47" s="49"/>
      <c r="L47" s="49" t="str">
        <f>IF(-0.5869*3390=0," ",TEXT(,ROUND((-0.5869*3390*10.164),2)))</f>
        <v>-20222.2</v>
      </c>
      <c r="M47" s="49"/>
      <c r="N47" s="49"/>
      <c r="O47" s="52"/>
      <c r="P47" s="52"/>
      <c r="Q47" s="52"/>
      <c r="R47" s="52"/>
      <c r="S47" s="52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 t="s">
        <v>171</v>
      </c>
      <c r="AG47" s="53" t="s">
        <v>165</v>
      </c>
      <c r="AH47" s="53"/>
      <c r="AI47" s="53">
        <f>0+0</f>
        <v>0</v>
      </c>
    </row>
    <row r="48" spans="1:35" ht="66" x14ac:dyDescent="0.25">
      <c r="A48" s="46">
        <v>22</v>
      </c>
      <c r="B48" s="47" t="s">
        <v>172</v>
      </c>
      <c r="C48" s="48" t="str">
        <f t="shared" ca="1" si="1"/>
        <v xml:space="preserve">Плиты из минеральной ваты на синтетическом связующем М-125 (ГОСТ 9573-96)
м3
</v>
      </c>
      <c r="D48" s="46">
        <v>-18.05</v>
      </c>
      <c r="E48" s="49">
        <v>530</v>
      </c>
      <c r="F48" s="49"/>
      <c r="G48" s="49">
        <v>530</v>
      </c>
      <c r="H48" s="50" t="s">
        <v>173</v>
      </c>
      <c r="I48" s="51">
        <v>-56885</v>
      </c>
      <c r="J48" s="49"/>
      <c r="K48" s="49"/>
      <c r="L48" s="49" t="str">
        <f>IF(-18.05*530=0," ",TEXT(,ROUND((-18.05*530*5.946),2)))</f>
        <v>-56882.41</v>
      </c>
      <c r="M48" s="49"/>
      <c r="N48" s="49"/>
      <c r="O48" s="52"/>
      <c r="P48" s="52"/>
      <c r="Q48" s="52"/>
      <c r="R48" s="52"/>
      <c r="S48" s="52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 t="s">
        <v>174</v>
      </c>
      <c r="AG48" s="53" t="s">
        <v>175</v>
      </c>
      <c r="AH48" s="53"/>
      <c r="AI48" s="53">
        <f>0+0</f>
        <v>0</v>
      </c>
    </row>
    <row r="49" spans="1:35" ht="158.4" x14ac:dyDescent="0.25">
      <c r="A49" s="46">
        <v>23</v>
      </c>
      <c r="B49" s="47" t="s">
        <v>176</v>
      </c>
      <c r="C49" s="48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(Всего толщ. 250 мм ПЗ=4 (ОЗП=4; ЭМ=4 к расх.; ЗПМ=4; МАТ=4 к расх.; ТЗ=4; ТЗМ=4))
67494 руб. НР 92%=120%*(0,85*0,9) от ФОТ (73363 руб.)
32280 руб.СП 44%=65%*(0,8*0,85) от ФОТ (73363 руб.)
</v>
      </c>
      <c r="D49" s="46">
        <v>2.92</v>
      </c>
      <c r="E49" s="49" t="s">
        <v>177</v>
      </c>
      <c r="F49" s="49" t="s">
        <v>178</v>
      </c>
      <c r="G49" s="49">
        <v>15827.16</v>
      </c>
      <c r="H49" s="50" t="s">
        <v>148</v>
      </c>
      <c r="I49" s="51">
        <v>412247</v>
      </c>
      <c r="J49" s="49">
        <v>71630</v>
      </c>
      <c r="K49" s="49" t="s">
        <v>179</v>
      </c>
      <c r="L49" s="49" t="str">
        <f>IF(2.92*15827.16=0," ",TEXT(,ROUND((2.92*15827.16*7),2)))</f>
        <v>323507.15</v>
      </c>
      <c r="M49" s="49" t="s">
        <v>180</v>
      </c>
      <c r="N49" s="49" t="s">
        <v>181</v>
      </c>
      <c r="O49" s="52"/>
      <c r="P49" s="52"/>
      <c r="Q49" s="52"/>
      <c r="R49" s="52"/>
      <c r="S49" s="52"/>
      <c r="T49" s="53"/>
      <c r="U49" s="53"/>
      <c r="V49" s="53"/>
      <c r="W49" s="53"/>
      <c r="X49" s="53"/>
      <c r="Y49" s="53"/>
      <c r="Z49" s="53"/>
      <c r="AA49" s="53" t="s">
        <v>152</v>
      </c>
      <c r="AB49" s="53" t="s">
        <v>153</v>
      </c>
      <c r="AC49" s="53">
        <v>67494</v>
      </c>
      <c r="AD49" s="53">
        <v>32280</v>
      </c>
      <c r="AE49" s="53" t="s">
        <v>182</v>
      </c>
      <c r="AF49" s="53" t="s">
        <v>183</v>
      </c>
      <c r="AG49" s="53" t="s">
        <v>155</v>
      </c>
      <c r="AH49" s="53"/>
      <c r="AI49" s="53">
        <f>71630+1733</f>
        <v>73363</v>
      </c>
    </row>
    <row r="50" spans="1:35" ht="52.8" x14ac:dyDescent="0.25">
      <c r="A50" s="46">
        <v>24</v>
      </c>
      <c r="B50" s="47" t="s">
        <v>156</v>
      </c>
      <c r="C50" s="48" t="str">
        <f t="shared" ca="1" si="1"/>
        <v xml:space="preserve">Котлы битумные передвижные 400 л
маш.-ч
</v>
      </c>
      <c r="D50" s="46">
        <v>-24.09</v>
      </c>
      <c r="E50" s="49">
        <v>30</v>
      </c>
      <c r="F50" s="49">
        <v>30</v>
      </c>
      <c r="G50" s="49"/>
      <c r="H50" s="50" t="s">
        <v>157</v>
      </c>
      <c r="I50" s="51">
        <v>-5177</v>
      </c>
      <c r="J50" s="49"/>
      <c r="K50" s="49">
        <v>-5177</v>
      </c>
      <c r="L50" s="49" t="str">
        <f>IF(-24.09*0=0," ",TEXT(,ROUND((-24.09*0*1),2)))</f>
        <v xml:space="preserve"> </v>
      </c>
      <c r="M50" s="49"/>
      <c r="N50" s="49"/>
      <c r="O50" s="52"/>
      <c r="P50" s="52"/>
      <c r="Q50" s="52"/>
      <c r="R50" s="52"/>
      <c r="S50" s="52"/>
      <c r="T50" s="53"/>
      <c r="U50" s="53"/>
      <c r="V50" s="53"/>
      <c r="W50" s="53"/>
      <c r="X50" s="53"/>
      <c r="Y50" s="53"/>
      <c r="Z50" s="53"/>
      <c r="AA50" s="53" t="s">
        <v>158</v>
      </c>
      <c r="AB50" s="53" t="s">
        <v>159</v>
      </c>
      <c r="AC50" s="53"/>
      <c r="AD50" s="53"/>
      <c r="AE50" s="53"/>
      <c r="AF50" s="53" t="s">
        <v>160</v>
      </c>
      <c r="AG50" s="53" t="s">
        <v>161</v>
      </c>
      <c r="AH50" s="53"/>
      <c r="AI50" s="53">
        <f>0+0</f>
        <v>0</v>
      </c>
    </row>
    <row r="51" spans="1:35" ht="52.8" x14ac:dyDescent="0.25">
      <c r="A51" s="46">
        <v>25</v>
      </c>
      <c r="B51" s="47" t="s">
        <v>169</v>
      </c>
      <c r="C51" s="48" t="str">
        <f t="shared" ca="1" si="1"/>
        <v xml:space="preserve">Мастика битумная кровельная горячая
т
</v>
      </c>
      <c r="D51" s="46">
        <v>-2.3479999999999999</v>
      </c>
      <c r="E51" s="49">
        <v>3390</v>
      </c>
      <c r="F51" s="49"/>
      <c r="G51" s="49">
        <v>3390</v>
      </c>
      <c r="H51" s="50" t="s">
        <v>170</v>
      </c>
      <c r="I51" s="51">
        <v>-80905</v>
      </c>
      <c r="J51" s="49"/>
      <c r="K51" s="49"/>
      <c r="L51" s="49" t="str">
        <f>IF(-2.348*3390=0," ",TEXT(,ROUND((-2.348*3390*10.164),2)))</f>
        <v>-80902.59</v>
      </c>
      <c r="M51" s="49"/>
      <c r="N51" s="49"/>
      <c r="O51" s="52"/>
      <c r="P51" s="52"/>
      <c r="Q51" s="52"/>
      <c r="R51" s="52"/>
      <c r="S51" s="52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171</v>
      </c>
      <c r="AG51" s="53" t="s">
        <v>165</v>
      </c>
      <c r="AH51" s="53"/>
      <c r="AI51" s="53">
        <f>0+0</f>
        <v>0</v>
      </c>
    </row>
    <row r="52" spans="1:35" ht="66" x14ac:dyDescent="0.25">
      <c r="A52" s="46">
        <v>26</v>
      </c>
      <c r="B52" s="47" t="s">
        <v>172</v>
      </c>
      <c r="C52" s="48" t="str">
        <f t="shared" ca="1" si="1"/>
        <v xml:space="preserve">Плиты из минеральной ваты на синтетическом связующем М-125 (ГОСТ 9573-96)
м3
</v>
      </c>
      <c r="D52" s="46">
        <v>-72.180000000000007</v>
      </c>
      <c r="E52" s="49">
        <v>530</v>
      </c>
      <c r="F52" s="49"/>
      <c r="G52" s="49">
        <v>530</v>
      </c>
      <c r="H52" s="50" t="s">
        <v>173</v>
      </c>
      <c r="I52" s="51">
        <v>-227464</v>
      </c>
      <c r="J52" s="49"/>
      <c r="K52" s="49"/>
      <c r="L52" s="49" t="str">
        <f>IF(-72.18*530=0," ",TEXT(,ROUND((-72.18*530*5.946),2)))</f>
        <v>-227466.61</v>
      </c>
      <c r="M52" s="49"/>
      <c r="N52" s="49"/>
      <c r="O52" s="52"/>
      <c r="P52" s="52"/>
      <c r="Q52" s="52"/>
      <c r="R52" s="52"/>
      <c r="S52" s="52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 t="s">
        <v>174</v>
      </c>
      <c r="AG52" s="53" t="s">
        <v>175</v>
      </c>
      <c r="AH52" s="53"/>
      <c r="AI52" s="53">
        <f>0+0</f>
        <v>0</v>
      </c>
    </row>
    <row r="53" spans="1:35" ht="92.4" x14ac:dyDescent="0.25">
      <c r="A53" s="46">
        <v>27</v>
      </c>
      <c r="B53" s="47" t="s">
        <v>184</v>
      </c>
      <c r="C53" s="48" t="str">
        <f t="shared" ca="1" si="1"/>
        <v xml:space="preserve">Плиты теплоизоляционные энергетические гидрофобизированные базальтовые: ПТЭ-125 , размером 2000х1000х50 мм 4145,05/5,63=736,24
м3
</v>
      </c>
      <c r="D53" s="46" t="s">
        <v>185</v>
      </c>
      <c r="E53" s="49">
        <v>736.24</v>
      </c>
      <c r="F53" s="49"/>
      <c r="G53" s="49">
        <v>736.24</v>
      </c>
      <c r="H53" s="50" t="s">
        <v>186</v>
      </c>
      <c r="I53" s="51">
        <v>311666</v>
      </c>
      <c r="J53" s="49"/>
      <c r="K53" s="49"/>
      <c r="L53" s="49" t="str">
        <f>IF(75.19*736.24=0," ",TEXT(,ROUND((75.19*736.24*5.63),2)))</f>
        <v>311664.9</v>
      </c>
      <c r="M53" s="49"/>
      <c r="N53" s="49"/>
      <c r="O53" s="52"/>
      <c r="P53" s="52"/>
      <c r="Q53" s="52"/>
      <c r="R53" s="52"/>
      <c r="S53" s="52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 t="s">
        <v>187</v>
      </c>
      <c r="AG53" s="53" t="s">
        <v>175</v>
      </c>
      <c r="AH53" s="53"/>
      <c r="AI53" s="53">
        <f>0+0</f>
        <v>0</v>
      </c>
    </row>
    <row r="54" spans="1:35" ht="132" x14ac:dyDescent="0.25">
      <c r="A54" s="46">
        <v>28</v>
      </c>
      <c r="B54" s="47" t="s">
        <v>188</v>
      </c>
      <c r="C54" s="48" t="str">
        <f t="shared" ca="1" si="1"/>
        <v xml:space="preserve">Изоляция изделиями из волокнистых и зернистых материалов с креплением на клее и дюбелями холодных поверхностей: наружных стен
100 м2 поверхности
367 руб. НР 77%=100%*(0,85*0,9) от ФОТ (477 руб.)
229 руб.СП 48%=70%*(0,8*0,85) от ФОТ (477 руб.)
</v>
      </c>
      <c r="D54" s="46">
        <v>0.2</v>
      </c>
      <c r="E54" s="49" t="s">
        <v>189</v>
      </c>
      <c r="F54" s="49" t="s">
        <v>190</v>
      </c>
      <c r="G54" s="49">
        <v>105.45</v>
      </c>
      <c r="H54" s="50" t="s">
        <v>191</v>
      </c>
      <c r="I54" s="51">
        <v>541</v>
      </c>
      <c r="J54" s="49">
        <v>477</v>
      </c>
      <c r="K54" s="49">
        <v>28</v>
      </c>
      <c r="L54" s="49" t="str">
        <f>IF(0.2*105.45=0," ",TEXT(,ROUND((0.2*105.45*1.72),2)))</f>
        <v>36.27</v>
      </c>
      <c r="M54" s="49" t="s">
        <v>192</v>
      </c>
      <c r="N54" s="49" t="s">
        <v>193</v>
      </c>
      <c r="O54" s="52"/>
      <c r="P54" s="52"/>
      <c r="Q54" s="52"/>
      <c r="R54" s="52"/>
      <c r="S54" s="52"/>
      <c r="T54" s="53"/>
      <c r="U54" s="53"/>
      <c r="V54" s="53"/>
      <c r="W54" s="53"/>
      <c r="X54" s="53"/>
      <c r="Y54" s="53"/>
      <c r="Z54" s="53"/>
      <c r="AA54" s="53" t="s">
        <v>194</v>
      </c>
      <c r="AB54" s="53" t="s">
        <v>35</v>
      </c>
      <c r="AC54" s="53">
        <v>367</v>
      </c>
      <c r="AD54" s="53">
        <v>229</v>
      </c>
      <c r="AE54" s="53"/>
      <c r="AF54" s="53" t="s">
        <v>195</v>
      </c>
      <c r="AG54" s="53" t="s">
        <v>196</v>
      </c>
      <c r="AH54" s="53"/>
      <c r="AI54" s="53">
        <f>477+0</f>
        <v>477</v>
      </c>
    </row>
    <row r="55" spans="1:35" ht="66" x14ac:dyDescent="0.25">
      <c r="A55" s="46">
        <v>29</v>
      </c>
      <c r="B55" s="47" t="s">
        <v>197</v>
      </c>
      <c r="C55" s="48" t="str">
        <f t="shared" ca="1" si="1"/>
        <v xml:space="preserve">Минплита URSA GEO универсальный толщ. 50 мм 40.42/1.18/5.63=6.08
м2
</v>
      </c>
      <c r="D55" s="46" t="s">
        <v>198</v>
      </c>
      <c r="E55" s="49">
        <v>6.08</v>
      </c>
      <c r="F55" s="49"/>
      <c r="G55" s="49">
        <v>6.08</v>
      </c>
      <c r="H55" s="50" t="s">
        <v>186</v>
      </c>
      <c r="I55" s="51">
        <v>1408</v>
      </c>
      <c r="J55" s="49"/>
      <c r="K55" s="49"/>
      <c r="L55" s="49" t="str">
        <f>IF(41.2*6.08=0," ",TEXT(,ROUND((41.2*6.08*5.63),2)))</f>
        <v>1410.29</v>
      </c>
      <c r="M55" s="49"/>
      <c r="N55" s="49"/>
      <c r="O55" s="52"/>
      <c r="P55" s="52"/>
      <c r="Q55" s="52"/>
      <c r="R55" s="52"/>
      <c r="S55" s="52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 t="s">
        <v>199</v>
      </c>
      <c r="AG55" s="53" t="s">
        <v>140</v>
      </c>
      <c r="AH55" s="53"/>
      <c r="AI55" s="53">
        <f>0+0</f>
        <v>0</v>
      </c>
    </row>
    <row r="56" spans="1:35" ht="92.4" x14ac:dyDescent="0.25">
      <c r="A56" s="46">
        <v>30</v>
      </c>
      <c r="B56" s="47" t="s">
        <v>133</v>
      </c>
      <c r="C56" s="48" t="str">
        <f t="shared" ca="1" si="1"/>
        <v xml:space="preserve">Устройство покрытия из рулонных материалов: насухо без промазки кромок
100 м2 кровли
1196 руб. НР 71%=83%*0,85 от ФОТ (1685 руб.)
876 руб.СП 52%=65%*0,8 от ФОТ (1685 руб.)
</v>
      </c>
      <c r="D56" s="46">
        <v>2.92</v>
      </c>
      <c r="E56" s="49" t="s">
        <v>134</v>
      </c>
      <c r="F56" s="49">
        <v>5.23</v>
      </c>
      <c r="G56" s="49">
        <v>883.33</v>
      </c>
      <c r="H56" s="50" t="s">
        <v>135</v>
      </c>
      <c r="I56" s="51">
        <v>15296</v>
      </c>
      <c r="J56" s="49">
        <v>1685</v>
      </c>
      <c r="K56" s="49">
        <v>174</v>
      </c>
      <c r="L56" s="49" t="str">
        <f>IF(2.92*883.33=0," ",TEXT(,ROUND((2.92*883.33*5.21),2)))</f>
        <v>13438.28</v>
      </c>
      <c r="M56" s="49">
        <v>4.5199999999999996</v>
      </c>
      <c r="N56" s="49">
        <v>13.2</v>
      </c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 t="s">
        <v>41</v>
      </c>
      <c r="AB56" s="53" t="s">
        <v>42</v>
      </c>
      <c r="AC56" s="53">
        <v>1196</v>
      </c>
      <c r="AD56" s="53">
        <v>876</v>
      </c>
      <c r="AE56" s="53"/>
      <c r="AF56" s="53" t="s">
        <v>136</v>
      </c>
      <c r="AG56" s="53" t="s">
        <v>64</v>
      </c>
      <c r="AH56" s="53"/>
      <c r="AI56" s="53">
        <f>1685+0</f>
        <v>1685</v>
      </c>
    </row>
    <row r="57" spans="1:35" ht="66" x14ac:dyDescent="0.25">
      <c r="A57" s="46">
        <v>31</v>
      </c>
      <c r="B57" s="47" t="s">
        <v>137</v>
      </c>
      <c r="C57" s="48" t="str">
        <f t="shared" ca="1" si="1"/>
        <v xml:space="preserve">Рубероид кровельный с крупнозернистой посыпкой марки: РКК-350б
м2
</v>
      </c>
      <c r="D57" s="46">
        <v>-335.8</v>
      </c>
      <c r="E57" s="49">
        <v>7.46</v>
      </c>
      <c r="F57" s="49"/>
      <c r="G57" s="49">
        <v>7.46</v>
      </c>
      <c r="H57" s="50" t="s">
        <v>138</v>
      </c>
      <c r="I57" s="51">
        <v>-13114</v>
      </c>
      <c r="J57" s="49"/>
      <c r="K57" s="49"/>
      <c r="L57" s="49" t="str">
        <f>IF(-335.8*7.46=0," ",TEXT(,ROUND((-335.8*7.46*5.235),2)))</f>
        <v>-13114.03</v>
      </c>
      <c r="M57" s="49"/>
      <c r="N57" s="49"/>
      <c r="O57" s="52"/>
      <c r="P57" s="52"/>
      <c r="Q57" s="52"/>
      <c r="R57" s="52"/>
      <c r="S57" s="52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 t="s">
        <v>139</v>
      </c>
      <c r="AG57" s="53" t="s">
        <v>140</v>
      </c>
      <c r="AH57" s="53"/>
      <c r="AI57" s="53">
        <f>0+0</f>
        <v>0</v>
      </c>
    </row>
    <row r="58" spans="1:35" ht="52.8" x14ac:dyDescent="0.25">
      <c r="A58" s="46">
        <v>32</v>
      </c>
      <c r="B58" s="47" t="s">
        <v>200</v>
      </c>
      <c r="C58" s="48" t="str">
        <f t="shared" ca="1" si="1"/>
        <v xml:space="preserve">ИЗОСПАН: А
10 м2
</v>
      </c>
      <c r="D58" s="46">
        <v>33.58</v>
      </c>
      <c r="E58" s="49">
        <v>39.200000000000003</v>
      </c>
      <c r="F58" s="49"/>
      <c r="G58" s="49">
        <v>39.200000000000003</v>
      </c>
      <c r="H58" s="50" t="s">
        <v>201</v>
      </c>
      <c r="I58" s="51">
        <v>6842</v>
      </c>
      <c r="J58" s="49"/>
      <c r="K58" s="49"/>
      <c r="L58" s="49" t="str">
        <f>IF(33.58*39.2=0," ",TEXT(,ROUND((33.58*39.2*5.199),2)))</f>
        <v>6843.63</v>
      </c>
      <c r="M58" s="49"/>
      <c r="N58" s="49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 t="s">
        <v>202</v>
      </c>
      <c r="AG58" s="53" t="s">
        <v>144</v>
      </c>
      <c r="AH58" s="53"/>
      <c r="AI58" s="53">
        <f>0+0</f>
        <v>0</v>
      </c>
    </row>
    <row r="59" spans="1:35" ht="105.6" x14ac:dyDescent="0.25">
      <c r="A59" s="46">
        <v>33</v>
      </c>
      <c r="B59" s="47" t="s">
        <v>203</v>
      </c>
      <c r="C59" s="48" t="str">
        <f t="shared" ca="1" si="1"/>
        <v xml:space="preserve">Укладка ходовых досок
100 м ходов
186 руб. НР 90%=118%*(0,85*0,9) от ФОТ (207 руб.)
89 руб.СП 43%=63%*(0,8*0,85) от ФОТ (207 руб.)
</v>
      </c>
      <c r="D59" s="46">
        <v>0.33</v>
      </c>
      <c r="E59" s="49" t="s">
        <v>204</v>
      </c>
      <c r="F59" s="49" t="s">
        <v>205</v>
      </c>
      <c r="G59" s="49">
        <v>1007.15</v>
      </c>
      <c r="H59" s="50" t="s">
        <v>206</v>
      </c>
      <c r="I59" s="51">
        <v>2107</v>
      </c>
      <c r="J59" s="49">
        <v>207</v>
      </c>
      <c r="K59" s="49">
        <v>57</v>
      </c>
      <c r="L59" s="49" t="str">
        <f>IF(0.33*1007.15=0," ",TEXT(,ROUND((0.33*1007.15*5.55),2)))</f>
        <v>1844.6</v>
      </c>
      <c r="M59" s="49" t="s">
        <v>207</v>
      </c>
      <c r="N59" s="49" t="s">
        <v>208</v>
      </c>
      <c r="O59" s="52"/>
      <c r="P59" s="52"/>
      <c r="Q59" s="52"/>
      <c r="R59" s="52"/>
      <c r="S59" s="52"/>
      <c r="T59" s="53"/>
      <c r="U59" s="53"/>
      <c r="V59" s="53"/>
      <c r="W59" s="53"/>
      <c r="X59" s="53"/>
      <c r="Y59" s="53"/>
      <c r="Z59" s="53"/>
      <c r="AA59" s="53" t="s">
        <v>93</v>
      </c>
      <c r="AB59" s="53" t="s">
        <v>94</v>
      </c>
      <c r="AC59" s="53">
        <v>186</v>
      </c>
      <c r="AD59" s="53">
        <v>89</v>
      </c>
      <c r="AE59" s="53"/>
      <c r="AF59" s="53" t="s">
        <v>209</v>
      </c>
      <c r="AG59" s="53" t="s">
        <v>210</v>
      </c>
      <c r="AH59" s="53"/>
      <c r="AI59" s="53">
        <f>207+0</f>
        <v>207</v>
      </c>
    </row>
    <row r="60" spans="1:35" ht="66" x14ac:dyDescent="0.25">
      <c r="A60" s="46">
        <v>34</v>
      </c>
      <c r="B60" s="47" t="s">
        <v>211</v>
      </c>
      <c r="C60" s="48" t="str">
        <f t="shared" ca="1" si="1"/>
        <v xml:space="preserve">Доски необрезные хвойных пород длиной: 4-6,5 м, все ширины, толщиной 32-40 мм, III сорта
м3
</v>
      </c>
      <c r="D60" s="46">
        <v>-0.39600000000000002</v>
      </c>
      <c r="E60" s="49">
        <v>832.7</v>
      </c>
      <c r="F60" s="49"/>
      <c r="G60" s="49">
        <v>832.7</v>
      </c>
      <c r="H60" s="50" t="s">
        <v>212</v>
      </c>
      <c r="I60" s="51">
        <v>-1838</v>
      </c>
      <c r="J60" s="49"/>
      <c r="K60" s="49"/>
      <c r="L60" s="49" t="str">
        <f>IF(-0.396*832.7=0," ",TEXT(,ROUND((-0.396*832.7*5.57),2)))</f>
        <v>-1836.7</v>
      </c>
      <c r="M60" s="49"/>
      <c r="N60" s="49"/>
      <c r="O60" s="52"/>
      <c r="P60" s="52"/>
      <c r="Q60" s="52"/>
      <c r="R60" s="52"/>
      <c r="S60" s="52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 t="s">
        <v>213</v>
      </c>
      <c r="AG60" s="53" t="s">
        <v>175</v>
      </c>
      <c r="AH60" s="53"/>
      <c r="AI60" s="53">
        <f>0+0</f>
        <v>0</v>
      </c>
    </row>
    <row r="61" spans="1:35" ht="79.2" x14ac:dyDescent="0.25">
      <c r="A61" s="46">
        <v>35</v>
      </c>
      <c r="B61" s="47" t="s">
        <v>214</v>
      </c>
      <c r="C61" s="48" t="str">
        <f t="shared" ca="1" si="1"/>
        <v xml:space="preserve">Доски обрезные хвойных пород длиной: 4-6,5 м, шириной 75-150 мм, толщиной 44 мм и более, II сорта
м3
</v>
      </c>
      <c r="D61" s="46">
        <v>0.6</v>
      </c>
      <c r="E61" s="49">
        <v>1320</v>
      </c>
      <c r="F61" s="49"/>
      <c r="G61" s="49">
        <v>1320</v>
      </c>
      <c r="H61" s="50" t="s">
        <v>215</v>
      </c>
      <c r="I61" s="51">
        <v>3318</v>
      </c>
      <c r="J61" s="49"/>
      <c r="K61" s="49"/>
      <c r="L61" s="49" t="str">
        <f>IF(0.6*1320=0," ",TEXT(,ROUND((0.6*1320*4.19),2)))</f>
        <v>3318.48</v>
      </c>
      <c r="M61" s="49"/>
      <c r="N61" s="49"/>
      <c r="O61" s="52"/>
      <c r="P61" s="52"/>
      <c r="Q61" s="52"/>
      <c r="R61" s="52"/>
      <c r="S61" s="52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 t="s">
        <v>216</v>
      </c>
      <c r="AG61" s="53" t="s">
        <v>175</v>
      </c>
      <c r="AH61" s="53"/>
      <c r="AI61" s="53">
        <f>0+0</f>
        <v>0</v>
      </c>
    </row>
    <row r="62" spans="1:35" ht="105.6" x14ac:dyDescent="0.25">
      <c r="A62" s="46">
        <v>36</v>
      </c>
      <c r="B62" s="47" t="s">
        <v>217</v>
      </c>
      <c r="C62" s="48" t="str">
        <f t="shared" ca="1" si="1"/>
        <v xml:space="preserve">Установка элементов каркаса: из брусьев
1 м3 древесины в конструкции
315 руб. НР 90%=118%*(0,85*0,9) от ФОТ (350 руб.)
151 руб.СП 43%=63%*(0,8*0,85) от ФОТ (350 руб.)
</v>
      </c>
      <c r="D62" s="46">
        <v>0.1</v>
      </c>
      <c r="E62" s="49" t="s">
        <v>218</v>
      </c>
      <c r="F62" s="49">
        <v>33.51</v>
      </c>
      <c r="G62" s="49">
        <v>2189</v>
      </c>
      <c r="H62" s="50" t="s">
        <v>219</v>
      </c>
      <c r="I62" s="51">
        <v>1315</v>
      </c>
      <c r="J62" s="49">
        <v>350</v>
      </c>
      <c r="K62" s="49">
        <v>45</v>
      </c>
      <c r="L62" s="49" t="str">
        <f>IF(0.1*2189=0," ",TEXT(,ROUND((0.1*2189*4.2),2)))</f>
        <v>919.38</v>
      </c>
      <c r="M62" s="49">
        <v>22.5</v>
      </c>
      <c r="N62" s="49">
        <v>2.25</v>
      </c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 t="s">
        <v>93</v>
      </c>
      <c r="AB62" s="53" t="s">
        <v>94</v>
      </c>
      <c r="AC62" s="53">
        <v>315</v>
      </c>
      <c r="AD62" s="53">
        <v>151</v>
      </c>
      <c r="AE62" s="53"/>
      <c r="AF62" s="53" t="s">
        <v>220</v>
      </c>
      <c r="AG62" s="53" t="s">
        <v>221</v>
      </c>
      <c r="AH62" s="53"/>
      <c r="AI62" s="53">
        <f>350+0</f>
        <v>350</v>
      </c>
    </row>
    <row r="63" spans="1:35" ht="118.8" x14ac:dyDescent="0.25">
      <c r="A63" s="46">
        <v>37</v>
      </c>
      <c r="B63" s="47" t="s">
        <v>222</v>
      </c>
      <c r="C63" s="48" t="str">
        <f t="shared" ca="1" si="1"/>
        <v xml:space="preserve">Установка противопожарных дверей: однопольных глухих
1 м2 проема
526 руб. НР 69%=90%*(0,85*0,9) от ФОТ (763 руб.)
443 руб.СП 58%=85%*(0,8*0,85) от ФОТ (763 руб.)
</v>
      </c>
      <c r="D63" s="46">
        <v>1.98</v>
      </c>
      <c r="E63" s="49" t="s">
        <v>223</v>
      </c>
      <c r="F63" s="49">
        <v>10.199999999999999</v>
      </c>
      <c r="G63" s="49">
        <v>60.66</v>
      </c>
      <c r="H63" s="50" t="s">
        <v>224</v>
      </c>
      <c r="I63" s="51">
        <v>1602</v>
      </c>
      <c r="J63" s="49">
        <v>763</v>
      </c>
      <c r="K63" s="49">
        <v>165</v>
      </c>
      <c r="L63" s="49" t="str">
        <f>IF(1.98*60.66=0," ",TEXT(,ROUND((1.98*60.66*5.62),2)))</f>
        <v>675</v>
      </c>
      <c r="M63" s="49">
        <v>2.0699999999999998</v>
      </c>
      <c r="N63" s="49">
        <v>4.0999999999999996</v>
      </c>
      <c r="O63" s="52"/>
      <c r="P63" s="52"/>
      <c r="Q63" s="52"/>
      <c r="R63" s="52"/>
      <c r="S63" s="52"/>
      <c r="T63" s="53"/>
      <c r="U63" s="53"/>
      <c r="V63" s="53"/>
      <c r="W63" s="53"/>
      <c r="X63" s="53"/>
      <c r="Y63" s="53"/>
      <c r="Z63" s="53"/>
      <c r="AA63" s="53" t="s">
        <v>225</v>
      </c>
      <c r="AB63" s="53" t="s">
        <v>226</v>
      </c>
      <c r="AC63" s="53">
        <v>526</v>
      </c>
      <c r="AD63" s="53">
        <v>443</v>
      </c>
      <c r="AE63" s="53"/>
      <c r="AF63" s="53" t="s">
        <v>227</v>
      </c>
      <c r="AG63" s="53" t="s">
        <v>228</v>
      </c>
      <c r="AH63" s="53"/>
      <c r="AI63" s="53">
        <f>763+0</f>
        <v>763</v>
      </c>
    </row>
    <row r="64" spans="1:35" ht="66" x14ac:dyDescent="0.25">
      <c r="A64" s="55">
        <v>38</v>
      </c>
      <c r="B64" s="56" t="s">
        <v>229</v>
      </c>
      <c r="C64" s="57" t="str">
        <f t="shared" ca="1" si="1"/>
        <v xml:space="preserve">Люки противопожарные: ЛПМ 01/60, 900х1100 мм 9961,24/5,63=1769,31
шт.
</v>
      </c>
      <c r="D64" s="55">
        <v>2</v>
      </c>
      <c r="E64" s="58">
        <v>1769.31</v>
      </c>
      <c r="F64" s="58"/>
      <c r="G64" s="58">
        <v>1769.31</v>
      </c>
      <c r="H64" s="59" t="s">
        <v>186</v>
      </c>
      <c r="I64" s="60">
        <v>19925</v>
      </c>
      <c r="J64" s="58"/>
      <c r="K64" s="58"/>
      <c r="L64" s="58" t="str">
        <f>IF(2*1769.31=0," ",TEXT(,ROUND((2*1769.31*5.63),2)))</f>
        <v>19922.43</v>
      </c>
      <c r="M64" s="58"/>
      <c r="N64" s="58"/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 t="s">
        <v>230</v>
      </c>
      <c r="AG64" s="53" t="s">
        <v>231</v>
      </c>
      <c r="AH64" s="53"/>
      <c r="AI64" s="53">
        <f>0+0</f>
        <v>0</v>
      </c>
    </row>
    <row r="65" spans="1:35" ht="26.4" x14ac:dyDescent="0.25">
      <c r="A65" s="86" t="s">
        <v>124</v>
      </c>
      <c r="B65" s="87"/>
      <c r="C65" s="87"/>
      <c r="D65" s="87"/>
      <c r="E65" s="87"/>
      <c r="F65" s="87"/>
      <c r="G65" s="87"/>
      <c r="H65" s="87"/>
      <c r="I65" s="51">
        <v>69509</v>
      </c>
      <c r="J65" s="49">
        <v>5523</v>
      </c>
      <c r="K65" s="49" t="s">
        <v>232</v>
      </c>
      <c r="L65" s="49">
        <v>62982</v>
      </c>
      <c r="M65" s="49"/>
      <c r="N65" s="49" t="s">
        <v>233</v>
      </c>
      <c r="O65" s="18"/>
      <c r="P65" s="19"/>
      <c r="Q65" s="18"/>
      <c r="R65" s="18"/>
      <c r="S65" s="18"/>
    </row>
    <row r="66" spans="1:35" ht="26.4" x14ac:dyDescent="0.25">
      <c r="A66" s="86" t="s">
        <v>234</v>
      </c>
      <c r="B66" s="87"/>
      <c r="C66" s="87"/>
      <c r="D66" s="87"/>
      <c r="E66" s="87"/>
      <c r="F66" s="87"/>
      <c r="G66" s="87"/>
      <c r="H66" s="87"/>
      <c r="I66" s="51">
        <v>70546</v>
      </c>
      <c r="J66" s="49">
        <v>6316</v>
      </c>
      <c r="K66" s="49" t="s">
        <v>235</v>
      </c>
      <c r="L66" s="49">
        <v>62982</v>
      </c>
      <c r="M66" s="49"/>
      <c r="N66" s="49" t="s">
        <v>236</v>
      </c>
      <c r="O66" s="18"/>
      <c r="P66" s="19"/>
      <c r="Q66" s="18"/>
      <c r="R66" s="18"/>
      <c r="S66" s="18"/>
    </row>
    <row r="67" spans="1:35" x14ac:dyDescent="0.25">
      <c r="A67" s="86" t="s">
        <v>237</v>
      </c>
      <c r="B67" s="87"/>
      <c r="C67" s="87"/>
      <c r="D67" s="87"/>
      <c r="E67" s="87"/>
      <c r="F67" s="87"/>
      <c r="G67" s="87"/>
      <c r="H67" s="87"/>
      <c r="I67" s="51"/>
      <c r="J67" s="49"/>
      <c r="K67" s="49"/>
      <c r="L67" s="49"/>
      <c r="M67" s="49"/>
      <c r="N67" s="49"/>
      <c r="O67" s="18"/>
      <c r="P67" s="19"/>
      <c r="Q67" s="18"/>
      <c r="R67" s="18"/>
      <c r="S67" s="18"/>
    </row>
    <row r="68" spans="1:35" ht="27.9" customHeight="1" x14ac:dyDescent="0.25">
      <c r="A68" s="86" t="s">
        <v>238</v>
      </c>
      <c r="B68" s="87"/>
      <c r="C68" s="87"/>
      <c r="D68" s="87"/>
      <c r="E68" s="87"/>
      <c r="F68" s="87"/>
      <c r="G68" s="87"/>
      <c r="H68" s="87"/>
      <c r="I68" s="51">
        <v>1037</v>
      </c>
      <c r="J68" s="49">
        <v>792</v>
      </c>
      <c r="K68" s="49" t="s">
        <v>239</v>
      </c>
      <c r="L68" s="49"/>
      <c r="M68" s="49"/>
      <c r="N68" s="49" t="s">
        <v>240</v>
      </c>
      <c r="O68" s="18"/>
      <c r="P68" s="19"/>
      <c r="Q68" s="18"/>
      <c r="R68" s="18"/>
      <c r="S68" s="18"/>
    </row>
    <row r="69" spans="1:35" ht="26.4" x14ac:dyDescent="0.25">
      <c r="A69" s="86" t="s">
        <v>127</v>
      </c>
      <c r="B69" s="87"/>
      <c r="C69" s="87"/>
      <c r="D69" s="87"/>
      <c r="E69" s="87"/>
      <c r="F69" s="87"/>
      <c r="G69" s="87"/>
      <c r="H69" s="87"/>
      <c r="I69" s="51">
        <v>480003</v>
      </c>
      <c r="J69" s="49">
        <v>100426</v>
      </c>
      <c r="K69" s="49" t="s">
        <v>241</v>
      </c>
      <c r="L69" s="49">
        <v>363907</v>
      </c>
      <c r="M69" s="49"/>
      <c r="N69" s="49" t="s">
        <v>236</v>
      </c>
      <c r="O69" s="18"/>
      <c r="P69" s="19"/>
      <c r="Q69" s="18"/>
      <c r="R69" s="18"/>
      <c r="S69" s="18"/>
    </row>
    <row r="70" spans="1:35" x14ac:dyDescent="0.25">
      <c r="A70" s="86" t="s">
        <v>129</v>
      </c>
      <c r="B70" s="87"/>
      <c r="C70" s="87"/>
      <c r="D70" s="87"/>
      <c r="E70" s="87"/>
      <c r="F70" s="87"/>
      <c r="G70" s="87"/>
      <c r="H70" s="87"/>
      <c r="I70" s="51">
        <v>93325</v>
      </c>
      <c r="J70" s="49"/>
      <c r="K70" s="49"/>
      <c r="L70" s="49"/>
      <c r="M70" s="49"/>
      <c r="N70" s="49"/>
      <c r="O70" s="18"/>
      <c r="P70" s="19"/>
      <c r="Q70" s="18"/>
      <c r="R70" s="18"/>
      <c r="S70" s="18"/>
    </row>
    <row r="71" spans="1:35" x14ac:dyDescent="0.25">
      <c r="A71" s="86" t="s">
        <v>130</v>
      </c>
      <c r="B71" s="87"/>
      <c r="C71" s="87"/>
      <c r="D71" s="87"/>
      <c r="E71" s="87"/>
      <c r="F71" s="87"/>
      <c r="G71" s="87"/>
      <c r="H71" s="87"/>
      <c r="I71" s="51">
        <v>45576</v>
      </c>
      <c r="J71" s="49"/>
      <c r="K71" s="49"/>
      <c r="L71" s="49"/>
      <c r="M71" s="49"/>
      <c r="N71" s="49"/>
      <c r="O71" s="18"/>
      <c r="P71" s="19"/>
      <c r="Q71" s="18"/>
      <c r="R71" s="18"/>
      <c r="S71" s="18"/>
    </row>
    <row r="72" spans="1:35" ht="26.4" x14ac:dyDescent="0.25">
      <c r="A72" s="90" t="s">
        <v>242</v>
      </c>
      <c r="B72" s="91"/>
      <c r="C72" s="91"/>
      <c r="D72" s="91"/>
      <c r="E72" s="91"/>
      <c r="F72" s="91"/>
      <c r="G72" s="91"/>
      <c r="H72" s="91"/>
      <c r="I72" s="61">
        <v>618904</v>
      </c>
      <c r="J72" s="62"/>
      <c r="K72" s="62"/>
      <c r="L72" s="62"/>
      <c r="M72" s="62"/>
      <c r="N72" s="62" t="s">
        <v>236</v>
      </c>
      <c r="O72" s="18"/>
      <c r="P72" s="19"/>
      <c r="Q72" s="18"/>
      <c r="R72" s="18"/>
      <c r="S72" s="18"/>
    </row>
    <row r="73" spans="1:35" ht="21" customHeight="1" x14ac:dyDescent="0.25">
      <c r="A73" s="88" t="s">
        <v>243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</row>
    <row r="74" spans="1:35" ht="105.6" x14ac:dyDescent="0.25">
      <c r="A74" s="46">
        <v>39</v>
      </c>
      <c r="B74" s="47" t="s">
        <v>244</v>
      </c>
      <c r="C74" s="48" t="str">
        <f t="shared" ref="C74:C118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Ремонт деревянных элементов конструкций крыш: укрепление стропильных ног расшивкой досками с двух сторон
100 м
1230 руб. НР 71%=83%*0,85 от ФОТ (1733 руб.)
901 руб.СП 52%=65%*0,8 от ФОТ (1733 руб.)
</v>
      </c>
      <c r="D74" s="46" t="s">
        <v>245</v>
      </c>
      <c r="E74" s="49" t="s">
        <v>246</v>
      </c>
      <c r="F74" s="49">
        <v>31.6</v>
      </c>
      <c r="G74" s="49">
        <v>3227.16</v>
      </c>
      <c r="H74" s="50" t="s">
        <v>247</v>
      </c>
      <c r="I74" s="51">
        <v>5999</v>
      </c>
      <c r="J74" s="49">
        <v>1733</v>
      </c>
      <c r="K74" s="49">
        <v>113</v>
      </c>
      <c r="L74" s="49" t="str">
        <f>IF(0.32*3227.16=0," ",TEXT(,ROUND((0.32*3227.16*4.02),2)))</f>
        <v>4151.42</v>
      </c>
      <c r="M74" s="49">
        <v>39.869999999999997</v>
      </c>
      <c r="N74" s="49">
        <v>12.76</v>
      </c>
      <c r="O74" s="52"/>
      <c r="P74" s="52"/>
      <c r="Q74" s="52"/>
      <c r="R74" s="52"/>
      <c r="S74" s="52"/>
      <c r="T74" s="53"/>
      <c r="U74" s="53"/>
      <c r="V74" s="53"/>
      <c r="W74" s="53"/>
      <c r="X74" s="53"/>
      <c r="Y74" s="53"/>
      <c r="Z74" s="53"/>
      <c r="AA74" s="53" t="s">
        <v>41</v>
      </c>
      <c r="AB74" s="53" t="s">
        <v>42</v>
      </c>
      <c r="AC74" s="53">
        <v>1230</v>
      </c>
      <c r="AD74" s="53">
        <v>901</v>
      </c>
      <c r="AE74" s="53"/>
      <c r="AF74" s="53" t="s">
        <v>248</v>
      </c>
      <c r="AG74" s="53" t="s">
        <v>249</v>
      </c>
      <c r="AH74" s="53"/>
      <c r="AI74" s="53">
        <f>1733+0</f>
        <v>1733</v>
      </c>
    </row>
    <row r="75" spans="1:35" ht="92.4" x14ac:dyDescent="0.25">
      <c r="A75" s="46">
        <v>40</v>
      </c>
      <c r="B75" s="47" t="s">
        <v>250</v>
      </c>
      <c r="C75" s="48" t="str">
        <f t="shared" ca="1" si="2"/>
        <v xml:space="preserve">Ремонт деревянных элементов конструкций крыш: смена стропильных ног из досок
100 м
1852 руб. НР 71%=83%*0,85 от ФОТ (2608 руб.)
1356 руб.СП 52%=65%*0,8 от ФОТ (2608 руб.)
</v>
      </c>
      <c r="D75" s="46" t="s">
        <v>251</v>
      </c>
      <c r="E75" s="49" t="s">
        <v>252</v>
      </c>
      <c r="F75" s="49">
        <v>17.45</v>
      </c>
      <c r="G75" s="49">
        <v>1568.5</v>
      </c>
      <c r="H75" s="50" t="s">
        <v>253</v>
      </c>
      <c r="I75" s="51">
        <v>3526</v>
      </c>
      <c r="J75" s="49">
        <v>2608</v>
      </c>
      <c r="K75" s="49">
        <v>34</v>
      </c>
      <c r="L75" s="49" t="str">
        <f>IF(0.144*1568.5=0," ",TEXT(,ROUND((0.144*1568.5*3.92),2)))</f>
        <v>885.39</v>
      </c>
      <c r="M75" s="49">
        <v>133.25</v>
      </c>
      <c r="N75" s="49">
        <v>19.190000000000001</v>
      </c>
      <c r="O75" s="52"/>
      <c r="P75" s="52"/>
      <c r="Q75" s="52"/>
      <c r="R75" s="52"/>
      <c r="S75" s="52"/>
      <c r="T75" s="53"/>
      <c r="U75" s="53"/>
      <c r="V75" s="53"/>
      <c r="W75" s="53"/>
      <c r="X75" s="53"/>
      <c r="Y75" s="53"/>
      <c r="Z75" s="53"/>
      <c r="AA75" s="53" t="s">
        <v>41</v>
      </c>
      <c r="AB75" s="53" t="s">
        <v>42</v>
      </c>
      <c r="AC75" s="53">
        <v>1852</v>
      </c>
      <c r="AD75" s="53">
        <v>1356</v>
      </c>
      <c r="AE75" s="53"/>
      <c r="AF75" s="53" t="s">
        <v>254</v>
      </c>
      <c r="AG75" s="53" t="s">
        <v>249</v>
      </c>
      <c r="AH75" s="53"/>
      <c r="AI75" s="53">
        <f>2608+0</f>
        <v>2608</v>
      </c>
    </row>
    <row r="76" spans="1:35" ht="105.6" x14ac:dyDescent="0.25">
      <c r="A76" s="46">
        <v>41</v>
      </c>
      <c r="B76" s="47" t="s">
        <v>255</v>
      </c>
      <c r="C76" s="48" t="str">
        <f t="shared" ca="1" si="2"/>
        <v xml:space="preserve">Ремонт деревянных элементов конструкций крыш: выправка деревянных стропильных ног с постановкой раскосов
1 шт.
406 руб. НР 71%=83%*0,85 от ФОТ (572 руб.)
297 руб.СП 52%=65%*0,8 от ФОТ (572 руб.)
</v>
      </c>
      <c r="D76" s="46">
        <v>3</v>
      </c>
      <c r="E76" s="49" t="s">
        <v>256</v>
      </c>
      <c r="F76" s="49">
        <v>24.4</v>
      </c>
      <c r="G76" s="49">
        <v>43.4</v>
      </c>
      <c r="H76" s="50" t="s">
        <v>257</v>
      </c>
      <c r="I76" s="51">
        <v>1880</v>
      </c>
      <c r="J76" s="49">
        <v>572</v>
      </c>
      <c r="K76" s="49">
        <v>827</v>
      </c>
      <c r="L76" s="49" t="str">
        <f>IF(3*43.4=0," ",TEXT(,ROUND((3*43.4*3.7),2)))</f>
        <v>481.74</v>
      </c>
      <c r="M76" s="49">
        <v>1.42</v>
      </c>
      <c r="N76" s="49">
        <v>4.26</v>
      </c>
      <c r="O76" s="52"/>
      <c r="P76" s="52"/>
      <c r="Q76" s="52"/>
      <c r="R76" s="52"/>
      <c r="S76" s="52"/>
      <c r="T76" s="53"/>
      <c r="U76" s="53"/>
      <c r="V76" s="53"/>
      <c r="W76" s="53"/>
      <c r="X76" s="53"/>
      <c r="Y76" s="53"/>
      <c r="Z76" s="53"/>
      <c r="AA76" s="53" t="s">
        <v>41</v>
      </c>
      <c r="AB76" s="53" t="s">
        <v>42</v>
      </c>
      <c r="AC76" s="53">
        <v>406</v>
      </c>
      <c r="AD76" s="53">
        <v>297</v>
      </c>
      <c r="AE76" s="53"/>
      <c r="AF76" s="53" t="s">
        <v>258</v>
      </c>
      <c r="AG76" s="53" t="s">
        <v>259</v>
      </c>
      <c r="AH76" s="53"/>
      <c r="AI76" s="53">
        <f>572+0</f>
        <v>572</v>
      </c>
    </row>
    <row r="77" spans="1:35" ht="79.2" x14ac:dyDescent="0.25">
      <c r="A77" s="46">
        <v>42</v>
      </c>
      <c r="B77" s="47" t="s">
        <v>260</v>
      </c>
      <c r="C77" s="48" t="str">
        <f t="shared" ca="1" si="2"/>
        <v xml:space="preserve">Лесоматериалы круглые хвойных пород для строительства диаметром 14-24 см, длиной 3-6,5 м
м3
</v>
      </c>
      <c r="D77" s="46">
        <v>-0.20100000000000001</v>
      </c>
      <c r="E77" s="49">
        <v>558.33000000000004</v>
      </c>
      <c r="F77" s="49"/>
      <c r="G77" s="49">
        <v>558.33000000000004</v>
      </c>
      <c r="H77" s="50" t="s">
        <v>261</v>
      </c>
      <c r="I77" s="51">
        <v>-350</v>
      </c>
      <c r="J77" s="49"/>
      <c r="K77" s="49"/>
      <c r="L77" s="49" t="str">
        <f>IF(-0.201*558.33=0," ",TEXT(,ROUND((-0.201*558.33*3.126),2)))</f>
        <v>-350.81</v>
      </c>
      <c r="M77" s="49"/>
      <c r="N77" s="49"/>
      <c r="O77" s="52"/>
      <c r="P77" s="52"/>
      <c r="Q77" s="52"/>
      <c r="R77" s="52"/>
      <c r="S77" s="52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 t="s">
        <v>262</v>
      </c>
      <c r="AG77" s="53" t="s">
        <v>175</v>
      </c>
      <c r="AH77" s="53"/>
      <c r="AI77" s="53">
        <f>0+0</f>
        <v>0</v>
      </c>
    </row>
    <row r="78" spans="1:35" ht="79.2" x14ac:dyDescent="0.25">
      <c r="A78" s="46">
        <v>43</v>
      </c>
      <c r="B78" s="47" t="s">
        <v>214</v>
      </c>
      <c r="C78" s="48" t="str">
        <f t="shared" ca="1" si="2"/>
        <v xml:space="preserve">Доски обрезные хвойных пород длиной: 4-6,5 м, шириной 75-150 мм, толщиной 44 мм и более, II сорта
м3
</v>
      </c>
      <c r="D78" s="46">
        <v>0.81110000000000004</v>
      </c>
      <c r="E78" s="49">
        <v>1320</v>
      </c>
      <c r="F78" s="49"/>
      <c r="G78" s="49">
        <v>1320</v>
      </c>
      <c r="H78" s="50" t="s">
        <v>215</v>
      </c>
      <c r="I78" s="51">
        <v>4487</v>
      </c>
      <c r="J78" s="49"/>
      <c r="K78" s="49"/>
      <c r="L78" s="49" t="str">
        <f>IF(0.8111*1320=0," ",TEXT(,ROUND((0.8111*1320*4.19),2)))</f>
        <v>4486.03</v>
      </c>
      <c r="M78" s="49"/>
      <c r="N78" s="49"/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 t="s">
        <v>216</v>
      </c>
      <c r="AG78" s="53" t="s">
        <v>175</v>
      </c>
      <c r="AH78" s="53"/>
      <c r="AI78" s="53">
        <f>0+0</f>
        <v>0</v>
      </c>
    </row>
    <row r="79" spans="1:35" ht="105.6" x14ac:dyDescent="0.25">
      <c r="A79" s="46">
        <v>44</v>
      </c>
      <c r="B79" s="47" t="s">
        <v>263</v>
      </c>
      <c r="C79" s="48" t="str">
        <f t="shared" ca="1" si="2"/>
        <v xml:space="preserve">Установка стропил
1 м3 древесины в конструкции
34529 руб. НР 90%=118%*(0,85*0,9) от ФОТ (38366 руб.)
16497 руб.СП 43%=63%*(0,8*0,85) от ФОТ (38366 руб.)
</v>
      </c>
      <c r="D79" s="46">
        <v>10.37</v>
      </c>
      <c r="E79" s="49" t="s">
        <v>264</v>
      </c>
      <c r="F79" s="49" t="s">
        <v>265</v>
      </c>
      <c r="G79" s="49">
        <v>2062.2600000000002</v>
      </c>
      <c r="H79" s="50" t="s">
        <v>266</v>
      </c>
      <c r="I79" s="51">
        <v>131363</v>
      </c>
      <c r="J79" s="49">
        <v>37953</v>
      </c>
      <c r="K79" s="49" t="s">
        <v>267</v>
      </c>
      <c r="L79" s="49" t="str">
        <f>IF(10.37*2062.26=0," ",TEXT(,ROUND((10.37*2062.26*4.11),2)))</f>
        <v>87894.96</v>
      </c>
      <c r="M79" s="49" t="s">
        <v>268</v>
      </c>
      <c r="N79" s="49" t="s">
        <v>269</v>
      </c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 t="s">
        <v>93</v>
      </c>
      <c r="AB79" s="53" t="s">
        <v>94</v>
      </c>
      <c r="AC79" s="53">
        <v>34529</v>
      </c>
      <c r="AD79" s="53">
        <v>16497</v>
      </c>
      <c r="AE79" s="53"/>
      <c r="AF79" s="53" t="s">
        <v>270</v>
      </c>
      <c r="AG79" s="53" t="s">
        <v>221</v>
      </c>
      <c r="AH79" s="53"/>
      <c r="AI79" s="53">
        <f>37953+413</f>
        <v>38366</v>
      </c>
    </row>
    <row r="80" spans="1:35" ht="92.4" x14ac:dyDescent="0.25">
      <c r="A80" s="46">
        <v>45</v>
      </c>
      <c r="B80" s="47" t="s">
        <v>271</v>
      </c>
      <c r="C80" s="48" t="str">
        <f t="shared" ca="1" si="2"/>
        <v xml:space="preserve">Устройство обрешетки сплошной из досок
100 м2
10397 руб. НР 71%=83%*0,85 от ФОТ (14644 руб.)
7615 руб.СП 52%=65%*0,8 от ФОТ (14644 руб.)
</v>
      </c>
      <c r="D80" s="46">
        <v>3.5609999999999999</v>
      </c>
      <c r="E80" s="49" t="s">
        <v>272</v>
      </c>
      <c r="F80" s="49" t="s">
        <v>273</v>
      </c>
      <c r="G80" s="49">
        <v>2198.6799999999998</v>
      </c>
      <c r="H80" s="50" t="s">
        <v>274</v>
      </c>
      <c r="I80" s="51">
        <v>60550</v>
      </c>
      <c r="J80" s="49">
        <v>14310</v>
      </c>
      <c r="K80" s="49" t="s">
        <v>275</v>
      </c>
      <c r="L80" s="49" t="str">
        <f>IF(3.561*2198.68=0," ",TEXT(,ROUND((3.561*2198.68*5.72),2)))</f>
        <v>44784.74</v>
      </c>
      <c r="M80" s="49" t="s">
        <v>276</v>
      </c>
      <c r="N80" s="49" t="s">
        <v>277</v>
      </c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 t="s">
        <v>41</v>
      </c>
      <c r="AB80" s="53" t="s">
        <v>42</v>
      </c>
      <c r="AC80" s="53">
        <v>10397</v>
      </c>
      <c r="AD80" s="53">
        <v>7615</v>
      </c>
      <c r="AE80" s="53"/>
      <c r="AF80" s="53" t="s">
        <v>278</v>
      </c>
      <c r="AG80" s="53" t="s">
        <v>73</v>
      </c>
      <c r="AH80" s="53"/>
      <c r="AI80" s="53">
        <f>14310+334</f>
        <v>14644</v>
      </c>
    </row>
    <row r="81" spans="1:35" ht="66" x14ac:dyDescent="0.25">
      <c r="A81" s="46">
        <v>46</v>
      </c>
      <c r="B81" s="47" t="s">
        <v>279</v>
      </c>
      <c r="C81" s="48" t="str">
        <f t="shared" ca="1" si="2"/>
        <v xml:space="preserve">Доски необрезные хвойных пород длиной: 4-6,5 м, все ширины, толщиной 25 мм, III сорта
м3
</v>
      </c>
      <c r="D81" s="46">
        <v>-9.4009999999999998</v>
      </c>
      <c r="E81" s="49">
        <v>792</v>
      </c>
      <c r="F81" s="49"/>
      <c r="G81" s="49">
        <v>792</v>
      </c>
      <c r="H81" s="50" t="s">
        <v>280</v>
      </c>
      <c r="I81" s="51">
        <v>-43604</v>
      </c>
      <c r="J81" s="49"/>
      <c r="K81" s="49"/>
      <c r="L81" s="49" t="str">
        <f>IF(-9.401*792=0," ",TEXT(,ROUND((-9.401*792*5.856),2)))</f>
        <v>-43601.39</v>
      </c>
      <c r="M81" s="49"/>
      <c r="N81" s="49"/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 t="s">
        <v>281</v>
      </c>
      <c r="AG81" s="53" t="s">
        <v>175</v>
      </c>
      <c r="AH81" s="53"/>
      <c r="AI81" s="53">
        <f>0+0</f>
        <v>0</v>
      </c>
    </row>
    <row r="82" spans="1:35" ht="79.2" x14ac:dyDescent="0.25">
      <c r="A82" s="46">
        <v>47</v>
      </c>
      <c r="B82" s="47" t="s">
        <v>214</v>
      </c>
      <c r="C82" s="48" t="str">
        <f t="shared" ca="1" si="2"/>
        <v xml:space="preserve">Доски обрезные хвойных пород длиной: 4-6,5 м, шириной 75-150 мм, толщиной 44 мм и более, II сорта
м3
</v>
      </c>
      <c r="D82" s="46">
        <v>17.805</v>
      </c>
      <c r="E82" s="49">
        <v>1320</v>
      </c>
      <c r="F82" s="49"/>
      <c r="G82" s="49">
        <v>1320</v>
      </c>
      <c r="H82" s="50" t="s">
        <v>215</v>
      </c>
      <c r="I82" s="51">
        <v>98478</v>
      </c>
      <c r="J82" s="49"/>
      <c r="K82" s="49"/>
      <c r="L82" s="49" t="str">
        <f>IF(17.805*1320=0," ",TEXT(,ROUND((17.805*1320*4.19),2)))</f>
        <v>98475.89</v>
      </c>
      <c r="M82" s="49"/>
      <c r="N82" s="49"/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 t="s">
        <v>216</v>
      </c>
      <c r="AG82" s="53" t="s">
        <v>175</v>
      </c>
      <c r="AH82" s="53"/>
      <c r="AI82" s="53">
        <f>0+0</f>
        <v>0</v>
      </c>
    </row>
    <row r="83" spans="1:35" ht="92.4" x14ac:dyDescent="0.25">
      <c r="A83" s="46">
        <v>48</v>
      </c>
      <c r="B83" s="47" t="s">
        <v>282</v>
      </c>
      <c r="C83" s="48" t="str">
        <f t="shared" ca="1" si="2"/>
        <v xml:space="preserve">Устройство обрешетки с прозорами из досок и брусков под кровлю: из листовой стали
100 м2
3906 руб. НР 71%=83%*0,85 от ФОТ (5501 руб.)
2861 руб.СП 52%=65%*0,8 от ФОТ (5501 руб.)
</v>
      </c>
      <c r="D83" s="46">
        <v>1.99</v>
      </c>
      <c r="E83" s="49" t="s">
        <v>283</v>
      </c>
      <c r="F83" s="49" t="s">
        <v>284</v>
      </c>
      <c r="G83" s="49">
        <v>1570.73</v>
      </c>
      <c r="H83" s="50" t="s">
        <v>285</v>
      </c>
      <c r="I83" s="51">
        <v>22918</v>
      </c>
      <c r="J83" s="49">
        <v>5358</v>
      </c>
      <c r="K83" s="49" t="s">
        <v>286</v>
      </c>
      <c r="L83" s="49" t="str">
        <f>IF(1.99*1570.73=0," ",TEXT(,ROUND((1.99*1570.73*5.45),2)))</f>
        <v>17035.35</v>
      </c>
      <c r="M83" s="49" t="s">
        <v>287</v>
      </c>
      <c r="N83" s="49" t="s">
        <v>288</v>
      </c>
      <c r="O83" s="52"/>
      <c r="P83" s="52"/>
      <c r="Q83" s="52"/>
      <c r="R83" s="52"/>
      <c r="S83" s="52"/>
      <c r="T83" s="53"/>
      <c r="U83" s="53"/>
      <c r="V83" s="53"/>
      <c r="W83" s="53"/>
      <c r="X83" s="53"/>
      <c r="Y83" s="53"/>
      <c r="Z83" s="53"/>
      <c r="AA83" s="53" t="s">
        <v>41</v>
      </c>
      <c r="AB83" s="53" t="s">
        <v>42</v>
      </c>
      <c r="AC83" s="53">
        <v>3906</v>
      </c>
      <c r="AD83" s="53">
        <v>2861</v>
      </c>
      <c r="AE83" s="53"/>
      <c r="AF83" s="53" t="s">
        <v>289</v>
      </c>
      <c r="AG83" s="53" t="s">
        <v>73</v>
      </c>
      <c r="AH83" s="53"/>
      <c r="AI83" s="53">
        <f>5358+143</f>
        <v>5501</v>
      </c>
    </row>
    <row r="84" spans="1:35" ht="66" x14ac:dyDescent="0.25">
      <c r="A84" s="46">
        <v>49</v>
      </c>
      <c r="B84" s="47" t="s">
        <v>211</v>
      </c>
      <c r="C84" s="48" t="str">
        <f t="shared" ca="1" si="2"/>
        <v xml:space="preserve">Доски необрезные хвойных пород длиной: 4-6,5 м, все ширины, толщиной 32-40 мм, III сорта
м3
</v>
      </c>
      <c r="D84" s="46">
        <v>-3.5819999999999999</v>
      </c>
      <c r="E84" s="49">
        <v>832.7</v>
      </c>
      <c r="F84" s="49"/>
      <c r="G84" s="49">
        <v>832.7</v>
      </c>
      <c r="H84" s="50" t="s">
        <v>212</v>
      </c>
      <c r="I84" s="51">
        <v>-16615</v>
      </c>
      <c r="J84" s="49"/>
      <c r="K84" s="49"/>
      <c r="L84" s="49" t="str">
        <f>IF(-3.582*832.7=0," ",TEXT(,ROUND((-3.582*832.7*5.57),2)))</f>
        <v>-16613.81</v>
      </c>
      <c r="M84" s="49"/>
      <c r="N84" s="49"/>
      <c r="O84" s="52"/>
      <c r="P84" s="52"/>
      <c r="Q84" s="52"/>
      <c r="R84" s="52"/>
      <c r="S84" s="52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 t="s">
        <v>213</v>
      </c>
      <c r="AG84" s="53" t="s">
        <v>175</v>
      </c>
      <c r="AH84" s="53"/>
      <c r="AI84" s="53">
        <f>0+0</f>
        <v>0</v>
      </c>
    </row>
    <row r="85" spans="1:35" ht="79.2" x14ac:dyDescent="0.25">
      <c r="A85" s="46">
        <v>50</v>
      </c>
      <c r="B85" s="47" t="s">
        <v>214</v>
      </c>
      <c r="C85" s="48" t="str">
        <f t="shared" ca="1" si="2"/>
        <v xml:space="preserve">Доски обрезные хвойных пород длиной: 4-6,5 м, шириной 75-150 мм, толщиной 44 мм и более, II сорта
м3
</v>
      </c>
      <c r="D85" s="46">
        <v>4.4800000000000004</v>
      </c>
      <c r="E85" s="49">
        <v>1320</v>
      </c>
      <c r="F85" s="49"/>
      <c r="G85" s="49">
        <v>1320</v>
      </c>
      <c r="H85" s="50" t="s">
        <v>215</v>
      </c>
      <c r="I85" s="51">
        <v>24780</v>
      </c>
      <c r="J85" s="49"/>
      <c r="K85" s="49"/>
      <c r="L85" s="49" t="str">
        <f>IF(4.48*1320=0," ",TEXT(,ROUND((4.48*1320*4.19),2)))</f>
        <v>24777.98</v>
      </c>
      <c r="M85" s="49"/>
      <c r="N85" s="49"/>
      <c r="O85" s="52"/>
      <c r="P85" s="52"/>
      <c r="Q85" s="52"/>
      <c r="R85" s="52"/>
      <c r="S85" s="52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 t="s">
        <v>216</v>
      </c>
      <c r="AG85" s="53" t="s">
        <v>175</v>
      </c>
      <c r="AH85" s="53"/>
      <c r="AI85" s="53">
        <f>0+0</f>
        <v>0</v>
      </c>
    </row>
    <row r="86" spans="1:35" ht="92.4" x14ac:dyDescent="0.25">
      <c r="A86" s="46">
        <v>51</v>
      </c>
      <c r="B86" s="47" t="s">
        <v>133</v>
      </c>
      <c r="C86" s="48" t="str">
        <f t="shared" ca="1" si="2"/>
        <v xml:space="preserve">Устройство покрытия из рулонных материалов: насухо без промазки кромок
100 м2 кровли
1772 руб. НР 71%=83%*0,85 от ФОТ (2496 руб.)
1298 руб.СП 52%=65%*0,8 от ФОТ (2496 руб.)
</v>
      </c>
      <c r="D86" s="46">
        <v>4.32</v>
      </c>
      <c r="E86" s="49" t="s">
        <v>134</v>
      </c>
      <c r="F86" s="49">
        <v>5.23</v>
      </c>
      <c r="G86" s="49">
        <v>883.33</v>
      </c>
      <c r="H86" s="50" t="s">
        <v>135</v>
      </c>
      <c r="I86" s="51">
        <v>22643</v>
      </c>
      <c r="J86" s="49">
        <v>2496</v>
      </c>
      <c r="K86" s="49">
        <v>266</v>
      </c>
      <c r="L86" s="49" t="str">
        <f>IF(4.32*883.33=0," ",TEXT(,ROUND((4.32*883.33*5.21),2)))</f>
        <v>19881.28</v>
      </c>
      <c r="M86" s="49">
        <v>4.5199999999999996</v>
      </c>
      <c r="N86" s="49">
        <v>19.53</v>
      </c>
      <c r="O86" s="52"/>
      <c r="P86" s="52"/>
      <c r="Q86" s="52"/>
      <c r="R86" s="52"/>
      <c r="S86" s="52"/>
      <c r="T86" s="53"/>
      <c r="U86" s="53"/>
      <c r="V86" s="53"/>
      <c r="W86" s="53"/>
      <c r="X86" s="53"/>
      <c r="Y86" s="53"/>
      <c r="Z86" s="53"/>
      <c r="AA86" s="53" t="s">
        <v>41</v>
      </c>
      <c r="AB86" s="53" t="s">
        <v>42</v>
      </c>
      <c r="AC86" s="53">
        <v>1772</v>
      </c>
      <c r="AD86" s="53">
        <v>1298</v>
      </c>
      <c r="AE86" s="53"/>
      <c r="AF86" s="53" t="s">
        <v>136</v>
      </c>
      <c r="AG86" s="53" t="s">
        <v>64</v>
      </c>
      <c r="AH86" s="53"/>
      <c r="AI86" s="53">
        <f>2496+0</f>
        <v>2496</v>
      </c>
    </row>
    <row r="87" spans="1:35" ht="66" x14ac:dyDescent="0.25">
      <c r="A87" s="46">
        <v>52</v>
      </c>
      <c r="B87" s="47" t="s">
        <v>137</v>
      </c>
      <c r="C87" s="48" t="str">
        <f t="shared" ca="1" si="2"/>
        <v xml:space="preserve">Рубероид кровельный с крупнозернистой посыпкой марки: РКК-350б
м2
</v>
      </c>
      <c r="D87" s="46">
        <v>-496.8</v>
      </c>
      <c r="E87" s="49">
        <v>7.46</v>
      </c>
      <c r="F87" s="49"/>
      <c r="G87" s="49">
        <v>7.46</v>
      </c>
      <c r="H87" s="50" t="s">
        <v>138</v>
      </c>
      <c r="I87" s="51">
        <v>-19401</v>
      </c>
      <c r="J87" s="49"/>
      <c r="K87" s="49"/>
      <c r="L87" s="49" t="str">
        <f>IF(-496.8*7.46=0," ",TEXT(,ROUND((-496.8*7.46*5.235),2)))</f>
        <v>-19401.58</v>
      </c>
      <c r="M87" s="49"/>
      <c r="N87" s="49"/>
      <c r="O87" s="52"/>
      <c r="P87" s="52"/>
      <c r="Q87" s="52"/>
      <c r="R87" s="52"/>
      <c r="S87" s="52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 t="s">
        <v>139</v>
      </c>
      <c r="AG87" s="53" t="s">
        <v>140</v>
      </c>
      <c r="AH87" s="53"/>
      <c r="AI87" s="53">
        <f>0+0</f>
        <v>0</v>
      </c>
    </row>
    <row r="88" spans="1:35" ht="52.8" x14ac:dyDescent="0.25">
      <c r="A88" s="46">
        <v>53</v>
      </c>
      <c r="B88" s="47" t="s">
        <v>290</v>
      </c>
      <c r="C88" s="48" t="str">
        <f t="shared" ca="1" si="2"/>
        <v xml:space="preserve">ИЗОСПАН: D
10 м2
</v>
      </c>
      <c r="D88" s="46">
        <v>49.68</v>
      </c>
      <c r="E88" s="49">
        <v>37.5</v>
      </c>
      <c r="F88" s="49"/>
      <c r="G88" s="49">
        <v>37.5</v>
      </c>
      <c r="H88" s="50" t="s">
        <v>291</v>
      </c>
      <c r="I88" s="51">
        <v>8315</v>
      </c>
      <c r="J88" s="49"/>
      <c r="K88" s="49"/>
      <c r="L88" s="49" t="str">
        <f>IF(49.68*37.5=0," ",TEXT(,ROUND((49.68*37.5*4.463),2)))</f>
        <v>8314.57</v>
      </c>
      <c r="M88" s="49"/>
      <c r="N88" s="49"/>
      <c r="O88" s="52"/>
      <c r="P88" s="52"/>
      <c r="Q88" s="52"/>
      <c r="R88" s="52"/>
      <c r="S88" s="52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 t="s">
        <v>292</v>
      </c>
      <c r="AG88" s="53" t="s">
        <v>144</v>
      </c>
      <c r="AH88" s="53"/>
      <c r="AI88" s="53">
        <f>0+0</f>
        <v>0</v>
      </c>
    </row>
    <row r="89" spans="1:35" ht="105.6" x14ac:dyDescent="0.25">
      <c r="A89" s="46">
        <v>54</v>
      </c>
      <c r="B89" s="47" t="s">
        <v>293</v>
      </c>
      <c r="C89" s="48" t="str">
        <f t="shared" ca="1" si="2"/>
        <v xml:space="preserve">Устройство слуховых окон
1 слуховое окно
1918 руб. НР 90%=118%*(0,85*0,9) от ФОТ (2131 руб.)
916 руб.СП 43%=63%*(0,8*0,85) от ФОТ (2131 руб.)
</v>
      </c>
      <c r="D89" s="46">
        <v>2</v>
      </c>
      <c r="E89" s="49" t="s">
        <v>294</v>
      </c>
      <c r="F89" s="49" t="s">
        <v>295</v>
      </c>
      <c r="G89" s="49">
        <v>300.2</v>
      </c>
      <c r="H89" s="50" t="s">
        <v>296</v>
      </c>
      <c r="I89" s="51">
        <v>5994</v>
      </c>
      <c r="J89" s="49">
        <v>2067</v>
      </c>
      <c r="K89" s="49" t="s">
        <v>297</v>
      </c>
      <c r="L89" s="49" t="str">
        <f>IF(2*300.2=0," ",TEXT(,ROUND((2*300.2*5.5),2)))</f>
        <v>3302.2</v>
      </c>
      <c r="M89" s="49" t="s">
        <v>298</v>
      </c>
      <c r="N89" s="49" t="s">
        <v>299</v>
      </c>
      <c r="O89" s="52"/>
      <c r="P89" s="52"/>
      <c r="Q89" s="52"/>
      <c r="R89" s="52"/>
      <c r="S89" s="52"/>
      <c r="T89" s="53"/>
      <c r="U89" s="53"/>
      <c r="V89" s="53"/>
      <c r="W89" s="53"/>
      <c r="X89" s="53"/>
      <c r="Y89" s="53"/>
      <c r="Z89" s="53"/>
      <c r="AA89" s="53" t="s">
        <v>93</v>
      </c>
      <c r="AB89" s="53" t="s">
        <v>94</v>
      </c>
      <c r="AC89" s="53">
        <v>1918</v>
      </c>
      <c r="AD89" s="53">
        <v>916</v>
      </c>
      <c r="AE89" s="53"/>
      <c r="AF89" s="53" t="s">
        <v>300</v>
      </c>
      <c r="AG89" s="53" t="s">
        <v>301</v>
      </c>
      <c r="AH89" s="53"/>
      <c r="AI89" s="53">
        <f>2067+64</f>
        <v>2131</v>
      </c>
    </row>
    <row r="90" spans="1:35" ht="52.8" x14ac:dyDescent="0.25">
      <c r="A90" s="46">
        <v>55</v>
      </c>
      <c r="B90" s="47" t="s">
        <v>302</v>
      </c>
      <c r="C90" s="48" t="str">
        <f t="shared" ca="1" si="2"/>
        <v xml:space="preserve">Петли форточные накладные размером 70х55 мм
компл.
</v>
      </c>
      <c r="D90" s="46">
        <v>2</v>
      </c>
      <c r="E90" s="49">
        <v>3.74</v>
      </c>
      <c r="F90" s="49"/>
      <c r="G90" s="49">
        <v>3.74</v>
      </c>
      <c r="H90" s="50" t="s">
        <v>303</v>
      </c>
      <c r="I90" s="51">
        <v>13</v>
      </c>
      <c r="J90" s="49"/>
      <c r="K90" s="49"/>
      <c r="L90" s="49" t="str">
        <f>IF(2*3.74=0," ",TEXT(,ROUND((2*3.74*1.875),2)))</f>
        <v>14.03</v>
      </c>
      <c r="M90" s="49"/>
      <c r="N90" s="49"/>
      <c r="O90" s="52"/>
      <c r="P90" s="52"/>
      <c r="Q90" s="52"/>
      <c r="R90" s="52"/>
      <c r="S90" s="52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 t="s">
        <v>304</v>
      </c>
      <c r="AG90" s="53" t="s">
        <v>305</v>
      </c>
      <c r="AH90" s="53"/>
      <c r="AI90" s="53">
        <f>0+0</f>
        <v>0</v>
      </c>
    </row>
    <row r="91" spans="1:35" ht="66" x14ac:dyDescent="0.25">
      <c r="A91" s="46">
        <v>56</v>
      </c>
      <c r="B91" s="47" t="s">
        <v>306</v>
      </c>
      <c r="C91" s="48" t="str">
        <f t="shared" ca="1" si="2"/>
        <v xml:space="preserve">Шпингалеты дверные размером 230х26 мм, оцинкованные или окрашенные
компл.
</v>
      </c>
      <c r="D91" s="46">
        <v>2</v>
      </c>
      <c r="E91" s="49">
        <v>13.42</v>
      </c>
      <c r="F91" s="49"/>
      <c r="G91" s="49">
        <v>13.42</v>
      </c>
      <c r="H91" s="50" t="s">
        <v>307</v>
      </c>
      <c r="I91" s="51">
        <v>143</v>
      </c>
      <c r="J91" s="49"/>
      <c r="K91" s="49"/>
      <c r="L91" s="49" t="str">
        <f>IF(2*13.42=0," ",TEXT(,ROUND((2*13.42*5.297),2)))</f>
        <v>142.17</v>
      </c>
      <c r="M91" s="49"/>
      <c r="N91" s="49"/>
      <c r="O91" s="52"/>
      <c r="P91" s="52"/>
      <c r="Q91" s="52"/>
      <c r="R91" s="52"/>
      <c r="S91" s="52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 t="s">
        <v>308</v>
      </c>
      <c r="AG91" s="53" t="s">
        <v>305</v>
      </c>
      <c r="AH91" s="53"/>
      <c r="AI91" s="53">
        <f>0+0</f>
        <v>0</v>
      </c>
    </row>
    <row r="92" spans="1:35" ht="66" x14ac:dyDescent="0.25">
      <c r="A92" s="46">
        <v>57</v>
      </c>
      <c r="B92" s="47" t="s">
        <v>309</v>
      </c>
      <c r="C92" s="48" t="str">
        <f t="shared" ca="1" si="2"/>
        <v xml:space="preserve">Створки оконные для жилых зданий площадь: 0,3-0,4 м2
м2
</v>
      </c>
      <c r="D92" s="46">
        <v>-1</v>
      </c>
      <c r="E92" s="49">
        <v>151.4</v>
      </c>
      <c r="F92" s="49"/>
      <c r="G92" s="49">
        <v>151.4</v>
      </c>
      <c r="H92" s="50" t="s">
        <v>310</v>
      </c>
      <c r="I92" s="51">
        <v>-1171</v>
      </c>
      <c r="J92" s="49"/>
      <c r="K92" s="49"/>
      <c r="L92" s="49" t="str">
        <f>IF(-1*151.4=0," ",TEXT(,ROUND((-1*151.4*7.752),2)))</f>
        <v>-1173.65</v>
      </c>
      <c r="M92" s="49"/>
      <c r="N92" s="49"/>
      <c r="O92" s="52"/>
      <c r="P92" s="52"/>
      <c r="Q92" s="52"/>
      <c r="R92" s="52"/>
      <c r="S92" s="52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 t="s">
        <v>311</v>
      </c>
      <c r="AG92" s="53" t="s">
        <v>140</v>
      </c>
      <c r="AH92" s="53"/>
      <c r="AI92" s="53">
        <f>0+0</f>
        <v>0</v>
      </c>
    </row>
    <row r="93" spans="1:35" ht="66" x14ac:dyDescent="0.25">
      <c r="A93" s="46">
        <v>58</v>
      </c>
      <c r="B93" s="47" t="s">
        <v>312</v>
      </c>
      <c r="C93" s="48" t="str">
        <f t="shared" ca="1" si="2"/>
        <v xml:space="preserve">Створки оконные для жилых зданий площадь: 0,8-1,0 м2
м2
</v>
      </c>
      <c r="D93" s="46">
        <v>2</v>
      </c>
      <c r="E93" s="49">
        <v>161.93</v>
      </c>
      <c r="F93" s="49"/>
      <c r="G93" s="49">
        <v>161.93</v>
      </c>
      <c r="H93" s="50" t="s">
        <v>313</v>
      </c>
      <c r="I93" s="51">
        <v>1728</v>
      </c>
      <c r="J93" s="49"/>
      <c r="K93" s="49"/>
      <c r="L93" s="49" t="str">
        <f>IF(2*161.93=0," ",TEXT(,ROUND((2*161.93*5.332),2)))</f>
        <v>1726.82</v>
      </c>
      <c r="M93" s="49"/>
      <c r="N93" s="49"/>
      <c r="O93" s="52"/>
      <c r="P93" s="52"/>
      <c r="Q93" s="52"/>
      <c r="R93" s="52"/>
      <c r="S93" s="52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 t="s">
        <v>314</v>
      </c>
      <c r="AG93" s="53" t="s">
        <v>140</v>
      </c>
      <c r="AH93" s="53"/>
      <c r="AI93" s="53">
        <f>0+0</f>
        <v>0</v>
      </c>
    </row>
    <row r="94" spans="1:35" ht="118.8" x14ac:dyDescent="0.25">
      <c r="A94" s="46">
        <v>59</v>
      </c>
      <c r="B94" s="47" t="s">
        <v>315</v>
      </c>
      <c r="C94" s="48" t="str">
        <f t="shared" ca="1" si="2"/>
        <v xml:space="preserve">Устройство: карнизов
100 м2 стен, фронтонов (за вычетом проемов) и развернутых поверхностей карнизов
18661 руб. НР 90%=118%*(0,85*0,9) от ФОТ (20734 руб.)
8916 руб.СП 43%=63%*(0,8*0,85) от ФОТ (20734 руб.)
</v>
      </c>
      <c r="D94" s="46">
        <v>0.93</v>
      </c>
      <c r="E94" s="49" t="s">
        <v>316</v>
      </c>
      <c r="F94" s="49">
        <v>79.81</v>
      </c>
      <c r="G94" s="49">
        <v>4013.93</v>
      </c>
      <c r="H94" s="50" t="s">
        <v>317</v>
      </c>
      <c r="I94" s="51">
        <v>54694</v>
      </c>
      <c r="J94" s="49">
        <v>20734</v>
      </c>
      <c r="K94" s="49">
        <v>1071</v>
      </c>
      <c r="L94" s="49" t="str">
        <f>IF(0.93*4013.93=0," ",TEXT(,ROUND((0.93*4013.93*8.81),2)))</f>
        <v>32887.33</v>
      </c>
      <c r="M94" s="49">
        <v>143</v>
      </c>
      <c r="N94" s="49">
        <v>132.99</v>
      </c>
      <c r="O94" s="52"/>
      <c r="P94" s="52"/>
      <c r="Q94" s="52"/>
      <c r="R94" s="52"/>
      <c r="S94" s="52"/>
      <c r="T94" s="53"/>
      <c r="U94" s="53"/>
      <c r="V94" s="53"/>
      <c r="W94" s="53"/>
      <c r="X94" s="53"/>
      <c r="Y94" s="53"/>
      <c r="Z94" s="53"/>
      <c r="AA94" s="53" t="s">
        <v>93</v>
      </c>
      <c r="AB94" s="53" t="s">
        <v>94</v>
      </c>
      <c r="AC94" s="53">
        <v>18661</v>
      </c>
      <c r="AD94" s="53">
        <v>8916</v>
      </c>
      <c r="AE94" s="53"/>
      <c r="AF94" s="53" t="s">
        <v>318</v>
      </c>
      <c r="AG94" s="53" t="s">
        <v>319</v>
      </c>
      <c r="AH94" s="53"/>
      <c r="AI94" s="53">
        <f>20734+0</f>
        <v>20734</v>
      </c>
    </row>
    <row r="95" spans="1:35" ht="158.4" x14ac:dyDescent="0.25">
      <c r="A95" s="46">
        <v>60</v>
      </c>
      <c r="B95" s="47" t="s">
        <v>320</v>
      </c>
      <c r="C95" s="48" t="str">
        <f t="shared" ca="1" si="2"/>
        <v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
100 м2 обрабатываемой поверхности
17765 руб. НР 77%=100%*(0,85*0,9) от ФОТ (23071 руб.)
11074 руб.СП 48%=70%*(0,8*0,85) от ФОТ (23071 руб.)
</v>
      </c>
      <c r="D95" s="46">
        <v>14.923</v>
      </c>
      <c r="E95" s="49" t="s">
        <v>321</v>
      </c>
      <c r="F95" s="49" t="s">
        <v>322</v>
      </c>
      <c r="G95" s="49">
        <v>1.83</v>
      </c>
      <c r="H95" s="50" t="s">
        <v>323</v>
      </c>
      <c r="I95" s="51">
        <v>38910</v>
      </c>
      <c r="J95" s="49">
        <v>22753</v>
      </c>
      <c r="K95" s="49" t="s">
        <v>324</v>
      </c>
      <c r="L95" s="49" t="str">
        <f>IF(14.923*1.83=0," ",TEXT(,ROUND((14.923*1.83*16.82),2)))</f>
        <v>459.34</v>
      </c>
      <c r="M95" s="49" t="s">
        <v>325</v>
      </c>
      <c r="N95" s="49" t="s">
        <v>326</v>
      </c>
      <c r="O95" s="52"/>
      <c r="P95" s="52"/>
      <c r="Q95" s="52"/>
      <c r="R95" s="52"/>
      <c r="S95" s="52"/>
      <c r="T95" s="53"/>
      <c r="U95" s="53"/>
      <c r="V95" s="53"/>
      <c r="W95" s="53"/>
      <c r="X95" s="53"/>
      <c r="Y95" s="53"/>
      <c r="Z95" s="53"/>
      <c r="AA95" s="53" t="s">
        <v>194</v>
      </c>
      <c r="AB95" s="53" t="s">
        <v>35</v>
      </c>
      <c r="AC95" s="53">
        <v>17765</v>
      </c>
      <c r="AD95" s="53">
        <v>11074</v>
      </c>
      <c r="AE95" s="53"/>
      <c r="AF95" s="53" t="s">
        <v>327</v>
      </c>
      <c r="AG95" s="53" t="s">
        <v>328</v>
      </c>
      <c r="AH95" s="53"/>
      <c r="AI95" s="53">
        <f>22753+318</f>
        <v>23071</v>
      </c>
    </row>
    <row r="96" spans="1:35" ht="66" x14ac:dyDescent="0.25">
      <c r="A96" s="46">
        <v>61</v>
      </c>
      <c r="B96" s="47" t="s">
        <v>329</v>
      </c>
      <c r="C96" s="48" t="str">
        <f t="shared" ca="1" si="2"/>
        <v xml:space="preserve">Антисептик-антипирен «ПИРИЛАКС-ТЕРМА» для древесины
кг
</v>
      </c>
      <c r="D96" s="46">
        <v>308.89999999999998</v>
      </c>
      <c r="E96" s="49">
        <v>15.16</v>
      </c>
      <c r="F96" s="49"/>
      <c r="G96" s="49">
        <v>15.16</v>
      </c>
      <c r="H96" s="50" t="s">
        <v>330</v>
      </c>
      <c r="I96" s="51">
        <v>44184</v>
      </c>
      <c r="J96" s="49"/>
      <c r="K96" s="49"/>
      <c r="L96" s="49" t="str">
        <f>IF(308.9*15.16=0," ",TEXT(,ROUND((308.9*15.16*9.435),2)))</f>
        <v>44183.39</v>
      </c>
      <c r="M96" s="49"/>
      <c r="N96" s="49"/>
      <c r="O96" s="52"/>
      <c r="P96" s="52"/>
      <c r="Q96" s="52"/>
      <c r="R96" s="52"/>
      <c r="S96" s="52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 t="s">
        <v>331</v>
      </c>
      <c r="AG96" s="53" t="s">
        <v>332</v>
      </c>
      <c r="AH96" s="53"/>
      <c r="AI96" s="53">
        <f>0+0</f>
        <v>0</v>
      </c>
    </row>
    <row r="97" spans="1:35" ht="118.8" x14ac:dyDescent="0.25">
      <c r="A97" s="46">
        <v>62</v>
      </c>
      <c r="B97" s="47" t="s">
        <v>333</v>
      </c>
      <c r="C97" s="48" t="str">
        <f t="shared" ca="1" si="2"/>
        <v xml:space="preserve">Устройство кровли из металлочерепицы по готовым прогонам: средней сложности
100 м2 кровли
26740 руб. НР 92%=120%*(0,85*0,9) от ФОТ (29065 руб.)
12789 руб.СП 44%=65%*(0,8*0,85) от ФОТ (29065 руб.)
</v>
      </c>
      <c r="D97" s="46">
        <v>4.32</v>
      </c>
      <c r="E97" s="49" t="s">
        <v>334</v>
      </c>
      <c r="F97" s="49" t="s">
        <v>335</v>
      </c>
      <c r="G97" s="49">
        <v>9946</v>
      </c>
      <c r="H97" s="50" t="s">
        <v>336</v>
      </c>
      <c r="I97" s="51">
        <v>202758</v>
      </c>
      <c r="J97" s="49">
        <v>28143</v>
      </c>
      <c r="K97" s="49" t="s">
        <v>337</v>
      </c>
      <c r="L97" s="49" t="str">
        <f>IF(4.32*9946=0," ",TEXT(,ROUND((4.32*9946*3.9),2)))</f>
        <v>167570.21</v>
      </c>
      <c r="M97" s="49" t="s">
        <v>338</v>
      </c>
      <c r="N97" s="49" t="s">
        <v>339</v>
      </c>
      <c r="O97" s="52"/>
      <c r="P97" s="52"/>
      <c r="Q97" s="52"/>
      <c r="R97" s="52"/>
      <c r="S97" s="52"/>
      <c r="T97" s="53"/>
      <c r="U97" s="53"/>
      <c r="V97" s="53"/>
      <c r="W97" s="53"/>
      <c r="X97" s="53"/>
      <c r="Y97" s="53"/>
      <c r="Z97" s="53"/>
      <c r="AA97" s="53" t="s">
        <v>152</v>
      </c>
      <c r="AB97" s="53" t="s">
        <v>153</v>
      </c>
      <c r="AC97" s="53">
        <v>26740</v>
      </c>
      <c r="AD97" s="53">
        <v>12789</v>
      </c>
      <c r="AE97" s="53"/>
      <c r="AF97" s="53" t="s">
        <v>340</v>
      </c>
      <c r="AG97" s="53" t="s">
        <v>64</v>
      </c>
      <c r="AH97" s="53"/>
      <c r="AI97" s="53">
        <f>28143+922</f>
        <v>29065</v>
      </c>
    </row>
    <row r="98" spans="1:35" ht="52.8" x14ac:dyDescent="0.25">
      <c r="A98" s="46">
        <v>63</v>
      </c>
      <c r="B98" s="47" t="s">
        <v>341</v>
      </c>
      <c r="C98" s="48" t="str">
        <f t="shared" ca="1" si="2"/>
        <v xml:space="preserve">Металлочерепица «Монтеррей»
м2
</v>
      </c>
      <c r="D98" s="46">
        <v>-553</v>
      </c>
      <c r="E98" s="49">
        <v>70.5</v>
      </c>
      <c r="F98" s="49"/>
      <c r="G98" s="49">
        <v>70.5</v>
      </c>
      <c r="H98" s="50" t="s">
        <v>342</v>
      </c>
      <c r="I98" s="51">
        <v>-145266</v>
      </c>
      <c r="J98" s="49"/>
      <c r="K98" s="49"/>
      <c r="L98" s="49" t="str">
        <f>IF(-553*70.5=0," ",TEXT(,ROUND((-553*70.5*3.726),2)))</f>
        <v>-145263.7</v>
      </c>
      <c r="M98" s="49"/>
      <c r="N98" s="49"/>
      <c r="O98" s="52"/>
      <c r="P98" s="52"/>
      <c r="Q98" s="52"/>
      <c r="R98" s="52"/>
      <c r="S98" s="52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 t="s">
        <v>343</v>
      </c>
      <c r="AG98" s="53" t="s">
        <v>140</v>
      </c>
      <c r="AH98" s="53"/>
      <c r="AI98" s="53">
        <f>0+0</f>
        <v>0</v>
      </c>
    </row>
    <row r="99" spans="1:35" ht="66" x14ac:dyDescent="0.25">
      <c r="A99" s="46">
        <v>64</v>
      </c>
      <c r="B99" s="47" t="s">
        <v>344</v>
      </c>
      <c r="C99" s="48" t="str">
        <f t="shared" ca="1" si="2"/>
        <v xml:space="preserve">Профилированный настил оцинкованный: С44-1000-0,7
т
</v>
      </c>
      <c r="D99" s="46" t="s">
        <v>345</v>
      </c>
      <c r="E99" s="49">
        <v>10091.209999999999</v>
      </c>
      <c r="F99" s="49"/>
      <c r="G99" s="49">
        <v>10091.209999999999</v>
      </c>
      <c r="H99" s="50" t="s">
        <v>346</v>
      </c>
      <c r="I99" s="51">
        <v>172537</v>
      </c>
      <c r="J99" s="49"/>
      <c r="K99" s="49"/>
      <c r="L99" s="49" t="str">
        <f>IF(3.94416*10091.21=0," ",TEXT(,ROUND((3.94416*10091.21*4.335),2)))</f>
        <v>172538.84</v>
      </c>
      <c r="M99" s="49"/>
      <c r="N99" s="49"/>
      <c r="O99" s="52"/>
      <c r="P99" s="52"/>
      <c r="Q99" s="52"/>
      <c r="R99" s="52"/>
      <c r="S99" s="52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 t="s">
        <v>347</v>
      </c>
      <c r="AG99" s="53" t="s">
        <v>165</v>
      </c>
      <c r="AH99" s="53"/>
      <c r="AI99" s="53">
        <f>0+0</f>
        <v>0</v>
      </c>
    </row>
    <row r="100" spans="1:35" ht="66" x14ac:dyDescent="0.25">
      <c r="A100" s="46">
        <v>65</v>
      </c>
      <c r="B100" s="47" t="s">
        <v>348</v>
      </c>
      <c r="C100" s="48" t="str">
        <f t="shared" ca="1" si="2"/>
        <v xml:space="preserve">Сталь листовая оцинкованная толщиной листа: 0,55 мм
т
</v>
      </c>
      <c r="D100" s="46" t="s">
        <v>349</v>
      </c>
      <c r="E100" s="49">
        <v>10484</v>
      </c>
      <c r="F100" s="49"/>
      <c r="G100" s="49">
        <v>10484</v>
      </c>
      <c r="H100" s="50" t="s">
        <v>350</v>
      </c>
      <c r="I100" s="51">
        <v>11536</v>
      </c>
      <c r="J100" s="49"/>
      <c r="K100" s="49"/>
      <c r="L100" s="49" t="str">
        <f>IF(0.2984*10484=0," ",TEXT(,ROUND((0.2984*10484*3.688),2)))</f>
        <v>11537.63</v>
      </c>
      <c r="M100" s="49"/>
      <c r="N100" s="49"/>
      <c r="O100" s="52"/>
      <c r="P100" s="52"/>
      <c r="Q100" s="52"/>
      <c r="R100" s="52"/>
      <c r="S100" s="52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 t="s">
        <v>351</v>
      </c>
      <c r="AG100" s="53" t="s">
        <v>165</v>
      </c>
      <c r="AH100" s="53"/>
      <c r="AI100" s="53">
        <f>0+0</f>
        <v>0</v>
      </c>
    </row>
    <row r="101" spans="1:35" ht="105.6" x14ac:dyDescent="0.25">
      <c r="A101" s="46">
        <v>66</v>
      </c>
      <c r="B101" s="47" t="s">
        <v>352</v>
      </c>
      <c r="C101" s="48" t="str">
        <f t="shared" ca="1" si="2"/>
        <v xml:space="preserve">Резка стального профилированного настила
1 м реза
2304 руб. НР 69%=90%*(0,85*0,9) от ФОТ (3339 руб.)
1937 руб.СП 58%=85%*(0,8*0,85) от ФОТ (3339 руб.)
</v>
      </c>
      <c r="D101" s="46">
        <v>60</v>
      </c>
      <c r="E101" s="49" t="s">
        <v>353</v>
      </c>
      <c r="F101" s="49">
        <v>0.55000000000000004</v>
      </c>
      <c r="G101" s="49"/>
      <c r="H101" s="50" t="s">
        <v>354</v>
      </c>
      <c r="I101" s="51">
        <v>3422</v>
      </c>
      <c r="J101" s="49">
        <v>3339</v>
      </c>
      <c r="K101" s="49">
        <v>83</v>
      </c>
      <c r="L101" s="49" t="str">
        <f>IF(60*0=0," ",TEXT(,ROUND((60*0*1),2)))</f>
        <v xml:space="preserve"> </v>
      </c>
      <c r="M101" s="49">
        <v>0.34</v>
      </c>
      <c r="N101" s="49">
        <v>20.399999999999999</v>
      </c>
      <c r="O101" s="52"/>
      <c r="P101" s="52"/>
      <c r="Q101" s="52"/>
      <c r="R101" s="52"/>
      <c r="S101" s="52"/>
      <c r="T101" s="53"/>
      <c r="U101" s="53"/>
      <c r="V101" s="53"/>
      <c r="W101" s="53"/>
      <c r="X101" s="53"/>
      <c r="Y101" s="53"/>
      <c r="Z101" s="53"/>
      <c r="AA101" s="53" t="s">
        <v>225</v>
      </c>
      <c r="AB101" s="53" t="s">
        <v>226</v>
      </c>
      <c r="AC101" s="53">
        <v>2304</v>
      </c>
      <c r="AD101" s="53">
        <v>1937</v>
      </c>
      <c r="AE101" s="53"/>
      <c r="AF101" s="53" t="s">
        <v>355</v>
      </c>
      <c r="AG101" s="53" t="s">
        <v>356</v>
      </c>
      <c r="AH101" s="53"/>
      <c r="AI101" s="53">
        <f>3339+0</f>
        <v>3339</v>
      </c>
    </row>
    <row r="102" spans="1:35" ht="105.6" x14ac:dyDescent="0.25">
      <c r="A102" s="46">
        <v>67</v>
      </c>
      <c r="B102" s="47" t="s">
        <v>357</v>
      </c>
      <c r="C102" s="48" t="str">
        <f t="shared" ca="1" si="2"/>
        <v xml:space="preserve">Ограждение кровель перилами
100 м ограждения
864 руб. НР 92%=120%*(0,85*0,9) от ФОТ (939 руб.)
413 руб.СП 44%=65%*(0,8*0,85) от ФОТ (939 руб.)
</v>
      </c>
      <c r="D102" s="46" t="s">
        <v>358</v>
      </c>
      <c r="E102" s="49" t="s">
        <v>359</v>
      </c>
      <c r="F102" s="49" t="s">
        <v>360</v>
      </c>
      <c r="G102" s="49">
        <v>3032.91</v>
      </c>
      <c r="H102" s="50" t="s">
        <v>361</v>
      </c>
      <c r="I102" s="51">
        <v>19487</v>
      </c>
      <c r="J102" s="49">
        <v>875</v>
      </c>
      <c r="K102" s="49" t="s">
        <v>362</v>
      </c>
      <c r="L102" s="49" t="str">
        <f>IF(0.8184*3032.91=0," ",TEXT(,ROUND((0.8184*3032.91*7.27),2)))</f>
        <v>18045.11</v>
      </c>
      <c r="M102" s="49" t="s">
        <v>363</v>
      </c>
      <c r="N102" s="49" t="s">
        <v>364</v>
      </c>
      <c r="O102" s="52"/>
      <c r="P102" s="52"/>
      <c r="Q102" s="52"/>
      <c r="R102" s="52"/>
      <c r="S102" s="52"/>
      <c r="T102" s="53"/>
      <c r="U102" s="53"/>
      <c r="V102" s="53"/>
      <c r="W102" s="53"/>
      <c r="X102" s="53"/>
      <c r="Y102" s="53"/>
      <c r="Z102" s="53"/>
      <c r="AA102" s="53" t="s">
        <v>152</v>
      </c>
      <c r="AB102" s="53" t="s">
        <v>153</v>
      </c>
      <c r="AC102" s="53">
        <v>864</v>
      </c>
      <c r="AD102" s="53">
        <v>413</v>
      </c>
      <c r="AE102" s="53"/>
      <c r="AF102" s="53" t="s">
        <v>365</v>
      </c>
      <c r="AG102" s="53" t="s">
        <v>366</v>
      </c>
      <c r="AH102" s="53"/>
      <c r="AI102" s="53">
        <f>875+64</f>
        <v>939</v>
      </c>
    </row>
    <row r="103" spans="1:35" ht="105.6" x14ac:dyDescent="0.25">
      <c r="A103" s="46">
        <v>68</v>
      </c>
      <c r="B103" s="47" t="s">
        <v>367</v>
      </c>
      <c r="C103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
т
</v>
      </c>
      <c r="D103" s="46">
        <v>-0.2455</v>
      </c>
      <c r="E103" s="49">
        <v>10045</v>
      </c>
      <c r="F103" s="49"/>
      <c r="G103" s="49">
        <v>10045</v>
      </c>
      <c r="H103" s="50" t="s">
        <v>368</v>
      </c>
      <c r="I103" s="51">
        <v>-17957</v>
      </c>
      <c r="J103" s="49"/>
      <c r="K103" s="49"/>
      <c r="L103" s="49" t="str">
        <f>IF(-0.2455*10045=0," ",TEXT(,ROUND((-0.2455*10045*7.282),2)))</f>
        <v>-17957.76</v>
      </c>
      <c r="M103" s="49"/>
      <c r="N103" s="49"/>
      <c r="O103" s="52"/>
      <c r="P103" s="52"/>
      <c r="Q103" s="52"/>
      <c r="R103" s="52"/>
      <c r="S103" s="52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 t="s">
        <v>369</v>
      </c>
      <c r="AG103" s="53" t="s">
        <v>165</v>
      </c>
      <c r="AH103" s="53"/>
      <c r="AI103" s="53">
        <f>0+0</f>
        <v>0</v>
      </c>
    </row>
    <row r="104" spans="1:35" ht="66" x14ac:dyDescent="0.25">
      <c r="A104" s="46">
        <v>69</v>
      </c>
      <c r="B104" s="47" t="s">
        <v>370</v>
      </c>
      <c r="C104" s="48" t="str">
        <f t="shared" ca="1" si="2"/>
        <v xml:space="preserve">Ограждение длиной 1860 мм 1800/1,18/5,63=270,95
шт
</v>
      </c>
      <c r="D104" s="46">
        <v>44</v>
      </c>
      <c r="E104" s="49">
        <v>270.95</v>
      </c>
      <c r="F104" s="49"/>
      <c r="G104" s="49">
        <v>270.95</v>
      </c>
      <c r="H104" s="50" t="s">
        <v>186</v>
      </c>
      <c r="I104" s="51">
        <v>67121</v>
      </c>
      <c r="J104" s="49"/>
      <c r="K104" s="49"/>
      <c r="L104" s="49" t="str">
        <f>IF(44*270.95=0," ",TEXT(,ROUND((44*270.95*5.63),2)))</f>
        <v>67119.73</v>
      </c>
      <c r="M104" s="49"/>
      <c r="N104" s="49"/>
      <c r="O104" s="52"/>
      <c r="P104" s="52"/>
      <c r="Q104" s="52"/>
      <c r="R104" s="52"/>
      <c r="S104" s="52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 t="s">
        <v>371</v>
      </c>
      <c r="AG104" s="53" t="s">
        <v>372</v>
      </c>
      <c r="AH104" s="53"/>
      <c r="AI104" s="53">
        <f>0+0</f>
        <v>0</v>
      </c>
    </row>
    <row r="105" spans="1:35" ht="105.6" x14ac:dyDescent="0.25">
      <c r="A105" s="46">
        <v>70</v>
      </c>
      <c r="B105" s="47" t="s">
        <v>357</v>
      </c>
      <c r="C105" s="48" t="str">
        <f t="shared" ca="1" si="2"/>
        <v xml:space="preserve">Снегозадержатели
100 м ограждения
776 руб. НР 92%=120%*(0,85*0,9) от ФОТ (843 руб.)
371 руб.СП 44%=65%*(0,8*0,85) от ФОТ (843 руб.)
</v>
      </c>
      <c r="D105" s="46" t="s">
        <v>373</v>
      </c>
      <c r="E105" s="49" t="s">
        <v>359</v>
      </c>
      <c r="F105" s="49" t="s">
        <v>360</v>
      </c>
      <c r="G105" s="49">
        <v>3032.91</v>
      </c>
      <c r="H105" s="50" t="s">
        <v>361</v>
      </c>
      <c r="I105" s="51">
        <v>17162</v>
      </c>
      <c r="J105" s="49">
        <v>779</v>
      </c>
      <c r="K105" s="49" t="s">
        <v>374</v>
      </c>
      <c r="L105" s="49" t="str">
        <f>IF(0.72*3032.91=0," ",TEXT(,ROUND((0.72*3032.91*7.27),2)))</f>
        <v>15875.46</v>
      </c>
      <c r="M105" s="49" t="s">
        <v>363</v>
      </c>
      <c r="N105" s="49" t="s">
        <v>375</v>
      </c>
      <c r="O105" s="52"/>
      <c r="P105" s="52"/>
      <c r="Q105" s="52"/>
      <c r="R105" s="52"/>
      <c r="S105" s="52"/>
      <c r="T105" s="53"/>
      <c r="U105" s="53"/>
      <c r="V105" s="53"/>
      <c r="W105" s="53"/>
      <c r="X105" s="53"/>
      <c r="Y105" s="53"/>
      <c r="Z105" s="53"/>
      <c r="AA105" s="53" t="s">
        <v>152</v>
      </c>
      <c r="AB105" s="53" t="s">
        <v>153</v>
      </c>
      <c r="AC105" s="53">
        <v>776</v>
      </c>
      <c r="AD105" s="53">
        <v>371</v>
      </c>
      <c r="AE105" s="53"/>
      <c r="AF105" s="53" t="s">
        <v>376</v>
      </c>
      <c r="AG105" s="53" t="s">
        <v>366</v>
      </c>
      <c r="AH105" s="53"/>
      <c r="AI105" s="53">
        <f>779+64</f>
        <v>843</v>
      </c>
    </row>
    <row r="106" spans="1:35" ht="105.6" x14ac:dyDescent="0.25">
      <c r="A106" s="46">
        <v>71</v>
      </c>
      <c r="B106" s="47" t="s">
        <v>367</v>
      </c>
      <c r="C106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6" s="46">
        <v>-0.216</v>
      </c>
      <c r="E106" s="49">
        <v>10045</v>
      </c>
      <c r="F106" s="49"/>
      <c r="G106" s="49">
        <v>10045</v>
      </c>
      <c r="H106" s="50" t="s">
        <v>368</v>
      </c>
      <c r="I106" s="51">
        <v>-15802</v>
      </c>
      <c r="J106" s="49"/>
      <c r="K106" s="49"/>
      <c r="L106" s="49" t="str">
        <f>IF(-0.216*10045=0," ",TEXT(,ROUND((-0.216*10045*7.282),2)))</f>
        <v>-15799.9</v>
      </c>
      <c r="M106" s="49"/>
      <c r="N106" s="49"/>
      <c r="O106" s="52"/>
      <c r="P106" s="52"/>
      <c r="Q106" s="52"/>
      <c r="R106" s="52"/>
      <c r="S106" s="52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 t="s">
        <v>377</v>
      </c>
      <c r="AG106" s="53" t="s">
        <v>165</v>
      </c>
      <c r="AH106" s="53"/>
      <c r="AI106" s="53">
        <f>0+0</f>
        <v>0</v>
      </c>
    </row>
    <row r="107" spans="1:35" ht="66" x14ac:dyDescent="0.25">
      <c r="A107" s="46">
        <v>72</v>
      </c>
      <c r="B107" s="47" t="s">
        <v>370</v>
      </c>
      <c r="C107" s="48" t="str">
        <f t="shared" ca="1" si="2"/>
        <v xml:space="preserve">Снегозадержатель длиной 3000 мм 1800/1,18/5,63=270,95
шт
</v>
      </c>
      <c r="D107" s="46">
        <v>24</v>
      </c>
      <c r="E107" s="49">
        <v>270.95</v>
      </c>
      <c r="F107" s="49"/>
      <c r="G107" s="49">
        <v>270.95</v>
      </c>
      <c r="H107" s="50" t="s">
        <v>186</v>
      </c>
      <c r="I107" s="51">
        <v>36612</v>
      </c>
      <c r="J107" s="49"/>
      <c r="K107" s="49"/>
      <c r="L107" s="49" t="str">
        <f>IF(24*270.95=0," ",TEXT(,ROUND((24*270.95*5.63),2)))</f>
        <v>36610.76</v>
      </c>
      <c r="M107" s="49"/>
      <c r="N107" s="49"/>
      <c r="O107" s="52"/>
      <c r="P107" s="52"/>
      <c r="Q107" s="52"/>
      <c r="R107" s="52"/>
      <c r="S107" s="52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 t="s">
        <v>378</v>
      </c>
      <c r="AG107" s="53" t="s">
        <v>372</v>
      </c>
      <c r="AH107" s="53"/>
      <c r="AI107" s="53">
        <f>0+0</f>
        <v>0</v>
      </c>
    </row>
    <row r="108" spans="1:35" ht="105.6" x14ac:dyDescent="0.25">
      <c r="A108" s="46">
        <v>73</v>
      </c>
      <c r="B108" s="47" t="s">
        <v>357</v>
      </c>
      <c r="C108" s="48" t="str">
        <f t="shared" ca="1" si="2"/>
        <v xml:space="preserve">Страховочный трос
100 м ограждения
220 руб. НР 92%=120%*(0,85*0,9) от ФОТ (239 руб.)
105 руб.СП 44%=65%*(0,8*0,85) от ФОТ (239 руб.)
</v>
      </c>
      <c r="D108" s="46">
        <v>0.2</v>
      </c>
      <c r="E108" s="49" t="s">
        <v>359</v>
      </c>
      <c r="F108" s="49" t="s">
        <v>360</v>
      </c>
      <c r="G108" s="49">
        <v>3032.91</v>
      </c>
      <c r="H108" s="50" t="s">
        <v>361</v>
      </c>
      <c r="I108" s="51">
        <v>4776</v>
      </c>
      <c r="J108" s="49">
        <v>223</v>
      </c>
      <c r="K108" s="49" t="s">
        <v>379</v>
      </c>
      <c r="L108" s="49" t="str">
        <f>IF(0.2*3032.91=0," ",TEXT(,ROUND((0.2*3032.91*7.27),2)))</f>
        <v>4409.85</v>
      </c>
      <c r="M108" s="49" t="s">
        <v>363</v>
      </c>
      <c r="N108" s="49" t="s">
        <v>380</v>
      </c>
      <c r="O108" s="52"/>
      <c r="P108" s="52"/>
      <c r="Q108" s="52"/>
      <c r="R108" s="52"/>
      <c r="S108" s="52"/>
      <c r="T108" s="53"/>
      <c r="U108" s="53"/>
      <c r="V108" s="53"/>
      <c r="W108" s="53"/>
      <c r="X108" s="53"/>
      <c r="Y108" s="53"/>
      <c r="Z108" s="53"/>
      <c r="AA108" s="53" t="s">
        <v>152</v>
      </c>
      <c r="AB108" s="53" t="s">
        <v>153</v>
      </c>
      <c r="AC108" s="53">
        <v>220</v>
      </c>
      <c r="AD108" s="53">
        <v>105</v>
      </c>
      <c r="AE108" s="53"/>
      <c r="AF108" s="53" t="s">
        <v>381</v>
      </c>
      <c r="AG108" s="53" t="s">
        <v>366</v>
      </c>
      <c r="AH108" s="53"/>
      <c r="AI108" s="53">
        <f>223+16</f>
        <v>239</v>
      </c>
    </row>
    <row r="109" spans="1:35" ht="105.6" x14ac:dyDescent="0.25">
      <c r="A109" s="46">
        <v>74</v>
      </c>
      <c r="B109" s="47" t="s">
        <v>367</v>
      </c>
      <c r="C109" s="48" t="str">
        <f t="shared" ca="1" si="2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109" s="46">
        <v>-0.06</v>
      </c>
      <c r="E109" s="49">
        <v>10045</v>
      </c>
      <c r="F109" s="49"/>
      <c r="G109" s="49">
        <v>10045</v>
      </c>
      <c r="H109" s="50" t="s">
        <v>368</v>
      </c>
      <c r="I109" s="51">
        <v>-4391</v>
      </c>
      <c r="J109" s="49"/>
      <c r="K109" s="49"/>
      <c r="L109" s="49" t="str">
        <f>IF(-0.06*10045=0," ",TEXT(,ROUND((-0.06*10045*7.282),2)))</f>
        <v>-4388.86</v>
      </c>
      <c r="M109" s="49"/>
      <c r="N109" s="49"/>
      <c r="O109" s="52"/>
      <c r="P109" s="52"/>
      <c r="Q109" s="52"/>
      <c r="R109" s="52"/>
      <c r="S109" s="52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 t="s">
        <v>382</v>
      </c>
      <c r="AG109" s="53" t="s">
        <v>165</v>
      </c>
      <c r="AH109" s="53"/>
      <c r="AI109" s="53">
        <f>0+0</f>
        <v>0</v>
      </c>
    </row>
    <row r="110" spans="1:35" ht="52.8" x14ac:dyDescent="0.25">
      <c r="A110" s="46">
        <v>75</v>
      </c>
      <c r="B110" s="47" t="s">
        <v>383</v>
      </c>
      <c r="C110" s="48" t="str">
        <f t="shared" ca="1" si="2"/>
        <v xml:space="preserve">Трос стальной
м
</v>
      </c>
      <c r="D110" s="46">
        <v>20</v>
      </c>
      <c r="E110" s="49">
        <v>12.03</v>
      </c>
      <c r="F110" s="49"/>
      <c r="G110" s="49">
        <v>12.03</v>
      </c>
      <c r="H110" s="50" t="s">
        <v>384</v>
      </c>
      <c r="I110" s="51">
        <v>1667</v>
      </c>
      <c r="J110" s="49"/>
      <c r="K110" s="49"/>
      <c r="L110" s="49" t="str">
        <f>IF(20*12.03=0," ",TEXT(,ROUND((20*12.03*6.918),2)))</f>
        <v>1664.47</v>
      </c>
      <c r="M110" s="49"/>
      <c r="N110" s="49"/>
      <c r="O110" s="52"/>
      <c r="P110" s="52"/>
      <c r="Q110" s="52"/>
      <c r="R110" s="52"/>
      <c r="S110" s="52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 t="s">
        <v>385</v>
      </c>
      <c r="AG110" s="53" t="s">
        <v>386</v>
      </c>
      <c r="AH110" s="53"/>
      <c r="AI110" s="53">
        <f>0+0</f>
        <v>0</v>
      </c>
    </row>
    <row r="111" spans="1:35" ht="79.2" x14ac:dyDescent="0.25">
      <c r="A111" s="46">
        <v>76</v>
      </c>
      <c r="B111" s="47" t="s">
        <v>387</v>
      </c>
      <c r="C111" s="48" t="str">
        <f t="shared" ca="1" si="2"/>
        <v xml:space="preserve">Анкерные детали из прямых или гнутых круглых стержней с резьбой (в комплекте с шайбами и гайками или без них): поставляемые отдельно
т
</v>
      </c>
      <c r="D111" s="46" t="s">
        <v>388</v>
      </c>
      <c r="E111" s="49">
        <v>10100</v>
      </c>
      <c r="F111" s="49"/>
      <c r="G111" s="49">
        <v>10100</v>
      </c>
      <c r="H111" s="50" t="s">
        <v>389</v>
      </c>
      <c r="I111" s="51">
        <v>253</v>
      </c>
      <c r="J111" s="49"/>
      <c r="K111" s="49"/>
      <c r="L111" s="49" t="str">
        <f>IF(0.00576*10100=0," ",TEXT(,ROUND((0.00576*10100*4.356),2)))</f>
        <v>253.41</v>
      </c>
      <c r="M111" s="49"/>
      <c r="N111" s="49"/>
      <c r="O111" s="52"/>
      <c r="P111" s="52"/>
      <c r="Q111" s="52"/>
      <c r="R111" s="52"/>
      <c r="S111" s="52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 t="s">
        <v>390</v>
      </c>
      <c r="AG111" s="53" t="s">
        <v>165</v>
      </c>
      <c r="AH111" s="53"/>
      <c r="AI111" s="53">
        <f>0+0</f>
        <v>0</v>
      </c>
    </row>
    <row r="112" spans="1:35" ht="105.6" x14ac:dyDescent="0.25">
      <c r="A112" s="46">
        <v>77</v>
      </c>
      <c r="B112" s="47" t="s">
        <v>357</v>
      </c>
      <c r="C112" s="48" t="str">
        <f t="shared" ca="1" si="2"/>
        <v xml:space="preserve">Устройство переходных лестниц  на кровле
100 м ограждения
74 руб. НР 92%=120%*(0,85*0,9) от ФОТ (80 руб.)
35 руб.СП 44%=65%*(0,8*0,85) от ФОТ (80 руб.)
</v>
      </c>
      <c r="D112" s="46" t="s">
        <v>391</v>
      </c>
      <c r="E112" s="49" t="s">
        <v>359</v>
      </c>
      <c r="F112" s="49" t="s">
        <v>360</v>
      </c>
      <c r="G112" s="49">
        <v>3032.91</v>
      </c>
      <c r="H112" s="50" t="s">
        <v>361</v>
      </c>
      <c r="I112" s="51">
        <v>1774</v>
      </c>
      <c r="J112" s="49">
        <v>80</v>
      </c>
      <c r="K112" s="49">
        <v>51</v>
      </c>
      <c r="L112" s="49" t="str">
        <f>IF(0.0744*3032.91=0," ",TEXT(,ROUND((0.0744*3032.91*7.27),2)))</f>
        <v>1640.46</v>
      </c>
      <c r="M112" s="49" t="s">
        <v>363</v>
      </c>
      <c r="N112" s="49" t="s">
        <v>392</v>
      </c>
      <c r="O112" s="52"/>
      <c r="P112" s="52"/>
      <c r="Q112" s="52"/>
      <c r="R112" s="52"/>
      <c r="S112" s="52"/>
      <c r="T112" s="53"/>
      <c r="U112" s="53"/>
      <c r="V112" s="53"/>
      <c r="W112" s="53"/>
      <c r="X112" s="53"/>
      <c r="Y112" s="53"/>
      <c r="Z112" s="53"/>
      <c r="AA112" s="53" t="s">
        <v>152</v>
      </c>
      <c r="AB112" s="53" t="s">
        <v>153</v>
      </c>
      <c r="AC112" s="53">
        <v>74</v>
      </c>
      <c r="AD112" s="53">
        <v>35</v>
      </c>
      <c r="AE112" s="53"/>
      <c r="AF112" s="53" t="s">
        <v>393</v>
      </c>
      <c r="AG112" s="53" t="s">
        <v>366</v>
      </c>
      <c r="AH112" s="53"/>
      <c r="AI112" s="53">
        <f>80+0</f>
        <v>80</v>
      </c>
    </row>
    <row r="113" spans="1:35" ht="105.6" x14ac:dyDescent="0.25">
      <c r="A113" s="46">
        <v>78</v>
      </c>
      <c r="B113" s="47" t="s">
        <v>367</v>
      </c>
      <c r="C113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3" s="46">
        <v>-2.23E-2</v>
      </c>
      <c r="E113" s="49">
        <v>10045</v>
      </c>
      <c r="F113" s="49"/>
      <c r="G113" s="49">
        <v>10045</v>
      </c>
      <c r="H113" s="50" t="s">
        <v>368</v>
      </c>
      <c r="I113" s="51">
        <v>-1631</v>
      </c>
      <c r="J113" s="49"/>
      <c r="K113" s="49"/>
      <c r="L113" s="49" t="str">
        <f>IF(-0.0223*10045=0," ",TEXT(,ROUND((-0.0223*10045*7.282),2)))</f>
        <v>-1631.19</v>
      </c>
      <c r="M113" s="49"/>
      <c r="N113" s="49"/>
      <c r="O113" s="52"/>
      <c r="P113" s="52"/>
      <c r="Q113" s="52"/>
      <c r="R113" s="52"/>
      <c r="S113" s="52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 t="s">
        <v>377</v>
      </c>
      <c r="AG113" s="53" t="s">
        <v>165</v>
      </c>
      <c r="AH113" s="53"/>
      <c r="AI113" s="53">
        <f>0+0</f>
        <v>0</v>
      </c>
    </row>
    <row r="114" spans="1:35" ht="66" x14ac:dyDescent="0.25">
      <c r="A114" s="46">
        <v>79</v>
      </c>
      <c r="B114" s="47" t="s">
        <v>370</v>
      </c>
      <c r="C114" s="48" t="str">
        <f t="shared" ca="1" si="2"/>
        <v xml:space="preserve">Лестница кровельная длиной 1860 мм 2200/1,18/5,63=331,16
шт
</v>
      </c>
      <c r="D114" s="46">
        <v>4</v>
      </c>
      <c r="E114" s="49">
        <v>331.16</v>
      </c>
      <c r="F114" s="49"/>
      <c r="G114" s="49">
        <v>331.16</v>
      </c>
      <c r="H114" s="50" t="s">
        <v>186</v>
      </c>
      <c r="I114" s="51">
        <v>7460</v>
      </c>
      <c r="J114" s="49"/>
      <c r="K114" s="49"/>
      <c r="L114" s="49" t="str">
        <f>IF(4*331.16=0," ",TEXT(,ROUND((4*331.16*5.63),2)))</f>
        <v>7457.72</v>
      </c>
      <c r="M114" s="49"/>
      <c r="N114" s="49"/>
      <c r="O114" s="52"/>
      <c r="P114" s="52"/>
      <c r="Q114" s="52"/>
      <c r="R114" s="52"/>
      <c r="S114" s="52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 t="s">
        <v>394</v>
      </c>
      <c r="AG114" s="53" t="s">
        <v>372</v>
      </c>
      <c r="AH114" s="53"/>
      <c r="AI114" s="53">
        <f>0+0</f>
        <v>0</v>
      </c>
    </row>
    <row r="115" spans="1:35" ht="92.4" x14ac:dyDescent="0.25">
      <c r="A115" s="46">
        <v>80</v>
      </c>
      <c r="B115" s="47" t="s">
        <v>357</v>
      </c>
      <c r="C115" s="48" t="str">
        <f t="shared" ca="1" si="2"/>
        <v xml:space="preserve">Устройство переходных мостиков  на кровле
100 м ограждения
15 руб. НР 92%=120%*(0,85*0,9) от ФОТ (16 руб.)
7 руб.СП 44%=65%*(0,8*0,85) от ФОТ (16 руб.)
</v>
      </c>
      <c r="D115" s="46" t="s">
        <v>395</v>
      </c>
      <c r="E115" s="49" t="s">
        <v>359</v>
      </c>
      <c r="F115" s="49" t="s">
        <v>360</v>
      </c>
      <c r="G115" s="49">
        <v>3032.91</v>
      </c>
      <c r="H115" s="50" t="s">
        <v>361</v>
      </c>
      <c r="I115" s="51">
        <v>580</v>
      </c>
      <c r="J115" s="49">
        <v>16</v>
      </c>
      <c r="K115" s="49">
        <v>10</v>
      </c>
      <c r="L115" s="49" t="str">
        <f>IF(0.025*3032.91=0," ",TEXT(,ROUND((0.025*3032.91*7.27),2)))</f>
        <v>551.23</v>
      </c>
      <c r="M115" s="49" t="s">
        <v>363</v>
      </c>
      <c r="N115" s="49" t="s">
        <v>396</v>
      </c>
      <c r="O115" s="52"/>
      <c r="P115" s="52"/>
      <c r="Q115" s="52"/>
      <c r="R115" s="52"/>
      <c r="S115" s="52"/>
      <c r="T115" s="53"/>
      <c r="U115" s="53"/>
      <c r="V115" s="53"/>
      <c r="W115" s="53"/>
      <c r="X115" s="53"/>
      <c r="Y115" s="53"/>
      <c r="Z115" s="53"/>
      <c r="AA115" s="53" t="s">
        <v>152</v>
      </c>
      <c r="AB115" s="53" t="s">
        <v>153</v>
      </c>
      <c r="AC115" s="53">
        <v>15</v>
      </c>
      <c r="AD115" s="53">
        <v>7</v>
      </c>
      <c r="AE115" s="53"/>
      <c r="AF115" s="53" t="s">
        <v>397</v>
      </c>
      <c r="AG115" s="53" t="s">
        <v>366</v>
      </c>
      <c r="AH115" s="53"/>
      <c r="AI115" s="53">
        <f>16+0</f>
        <v>16</v>
      </c>
    </row>
    <row r="116" spans="1:35" ht="105.6" x14ac:dyDescent="0.25">
      <c r="A116" s="46">
        <v>81</v>
      </c>
      <c r="B116" s="47" t="s">
        <v>367</v>
      </c>
      <c r="C116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6" s="46">
        <v>-7.4999999999999997E-3</v>
      </c>
      <c r="E116" s="49">
        <v>10045</v>
      </c>
      <c r="F116" s="49"/>
      <c r="G116" s="49">
        <v>10045</v>
      </c>
      <c r="H116" s="50" t="s">
        <v>368</v>
      </c>
      <c r="I116" s="51">
        <v>-546</v>
      </c>
      <c r="J116" s="49"/>
      <c r="K116" s="49"/>
      <c r="L116" s="49" t="str">
        <f>IF(-0.0075*10045=0," ",TEXT(,ROUND((-0.0075*10045*7.282),2)))</f>
        <v>-548.61</v>
      </c>
      <c r="M116" s="49"/>
      <c r="N116" s="49"/>
      <c r="O116" s="52"/>
      <c r="P116" s="52"/>
      <c r="Q116" s="52"/>
      <c r="R116" s="52"/>
      <c r="S116" s="52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 t="s">
        <v>377</v>
      </c>
      <c r="AG116" s="53" t="s">
        <v>165</v>
      </c>
      <c r="AH116" s="53"/>
      <c r="AI116" s="53">
        <f>0+0</f>
        <v>0</v>
      </c>
    </row>
    <row r="117" spans="1:35" ht="66" x14ac:dyDescent="0.25">
      <c r="A117" s="46">
        <v>82</v>
      </c>
      <c r="B117" s="47" t="s">
        <v>398</v>
      </c>
      <c r="C117" s="48" t="str">
        <f t="shared" ca="1" si="2"/>
        <v xml:space="preserve">Переходный мостик 1250 мм 2250/1,18/5,63=338,68
шт
</v>
      </c>
      <c r="D117" s="46">
        <v>2</v>
      </c>
      <c r="E117" s="49">
        <v>338.68</v>
      </c>
      <c r="F117" s="49"/>
      <c r="G117" s="49">
        <v>338.68</v>
      </c>
      <c r="H117" s="50" t="s">
        <v>186</v>
      </c>
      <c r="I117" s="51">
        <v>3812</v>
      </c>
      <c r="J117" s="49"/>
      <c r="K117" s="49"/>
      <c r="L117" s="49" t="str">
        <f>IF(2*338.68=0," ",TEXT(,ROUND((2*338.68*5.63),2)))</f>
        <v>3813.54</v>
      </c>
      <c r="M117" s="49"/>
      <c r="N117" s="49"/>
      <c r="O117" s="52"/>
      <c r="P117" s="52"/>
      <c r="Q117" s="52"/>
      <c r="R117" s="52"/>
      <c r="S117" s="52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 t="s">
        <v>399</v>
      </c>
      <c r="AG117" s="53" t="s">
        <v>372</v>
      </c>
      <c r="AH117" s="53"/>
      <c r="AI117" s="53">
        <f>0+0</f>
        <v>0</v>
      </c>
    </row>
    <row r="118" spans="1:35" ht="145.19999999999999" x14ac:dyDescent="0.25">
      <c r="A118" s="55">
        <v>83</v>
      </c>
      <c r="B118" s="56" t="s">
        <v>400</v>
      </c>
      <c r="C118" s="57" t="str">
        <f t="shared" ca="1" si="2"/>
        <v xml:space="preserve">Установка и разборка наружных инвентарных лесов высотой до 16 м: трубчатых для прочих отделочных работ
100 м2 вертикальной проекции для наружных лесов
32975 руб. НР 93%=122%*(0,85*0,9) от ФОТ (35457 руб.)
19147 руб.СП 54%=80%*(0,8*0,85) от ФОТ (35457 руб.)
</v>
      </c>
      <c r="D118" s="55">
        <v>5.16</v>
      </c>
      <c r="E118" s="58" t="s">
        <v>401</v>
      </c>
      <c r="F118" s="58">
        <v>6.1</v>
      </c>
      <c r="G118" s="58">
        <v>343.22</v>
      </c>
      <c r="H118" s="59" t="s">
        <v>402</v>
      </c>
      <c r="I118" s="60">
        <v>58632</v>
      </c>
      <c r="J118" s="58">
        <v>35457</v>
      </c>
      <c r="K118" s="58">
        <v>452</v>
      </c>
      <c r="L118" s="58" t="str">
        <f>IF(5.16*343.22=0," ",TEXT(,ROUND((5.16*343.22*12.83),2)))</f>
        <v>22722.13</v>
      </c>
      <c r="M118" s="58">
        <v>43.5</v>
      </c>
      <c r="N118" s="58">
        <v>224.46</v>
      </c>
      <c r="O118" s="52"/>
      <c r="P118" s="52"/>
      <c r="Q118" s="52"/>
      <c r="R118" s="52"/>
      <c r="S118" s="52"/>
      <c r="T118" s="53"/>
      <c r="U118" s="53"/>
      <c r="V118" s="53"/>
      <c r="W118" s="53"/>
      <c r="X118" s="53"/>
      <c r="Y118" s="53"/>
      <c r="Z118" s="53"/>
      <c r="AA118" s="53" t="s">
        <v>403</v>
      </c>
      <c r="AB118" s="53" t="s">
        <v>404</v>
      </c>
      <c r="AC118" s="53">
        <v>32975</v>
      </c>
      <c r="AD118" s="53">
        <v>19147</v>
      </c>
      <c r="AE118" s="53"/>
      <c r="AF118" s="53" t="s">
        <v>405</v>
      </c>
      <c r="AG118" s="53" t="s">
        <v>406</v>
      </c>
      <c r="AH118" s="53"/>
      <c r="AI118" s="53">
        <f>35457+0</f>
        <v>35457</v>
      </c>
    </row>
    <row r="119" spans="1:35" ht="26.4" x14ac:dyDescent="0.25">
      <c r="A119" s="86" t="s">
        <v>124</v>
      </c>
      <c r="B119" s="87"/>
      <c r="C119" s="87"/>
      <c r="D119" s="87"/>
      <c r="E119" s="87"/>
      <c r="F119" s="87"/>
      <c r="G119" s="87"/>
      <c r="H119" s="87"/>
      <c r="I119" s="51">
        <v>146973</v>
      </c>
      <c r="J119" s="49">
        <v>10039</v>
      </c>
      <c r="K119" s="49" t="s">
        <v>407</v>
      </c>
      <c r="L119" s="49">
        <v>134343</v>
      </c>
      <c r="M119" s="49"/>
      <c r="N119" s="49" t="s">
        <v>408</v>
      </c>
      <c r="O119" s="18"/>
      <c r="P119" s="19"/>
      <c r="Q119" s="18"/>
      <c r="R119" s="18"/>
      <c r="S119" s="18"/>
    </row>
    <row r="120" spans="1:35" ht="26.4" x14ac:dyDescent="0.25">
      <c r="A120" s="86" t="s">
        <v>234</v>
      </c>
      <c r="B120" s="87"/>
      <c r="C120" s="87"/>
      <c r="D120" s="87"/>
      <c r="E120" s="87"/>
      <c r="F120" s="87"/>
      <c r="G120" s="87"/>
      <c r="H120" s="87"/>
      <c r="I120" s="51">
        <v>148793</v>
      </c>
      <c r="J120" s="49">
        <v>11289</v>
      </c>
      <c r="K120" s="49" t="s">
        <v>409</v>
      </c>
      <c r="L120" s="49">
        <v>134343</v>
      </c>
      <c r="M120" s="49"/>
      <c r="N120" s="49" t="s">
        <v>410</v>
      </c>
      <c r="O120" s="18"/>
      <c r="P120" s="19"/>
      <c r="Q120" s="18"/>
      <c r="R120" s="18"/>
      <c r="S120" s="18"/>
    </row>
    <row r="121" spans="1:35" x14ac:dyDescent="0.25">
      <c r="A121" s="86" t="s">
        <v>237</v>
      </c>
      <c r="B121" s="87"/>
      <c r="C121" s="87"/>
      <c r="D121" s="87"/>
      <c r="E121" s="87"/>
      <c r="F121" s="87"/>
      <c r="G121" s="87"/>
      <c r="H121" s="87"/>
      <c r="I121" s="51"/>
      <c r="J121" s="49"/>
      <c r="K121" s="49"/>
      <c r="L121" s="49"/>
      <c r="M121" s="49"/>
      <c r="N121" s="49"/>
      <c r="O121" s="18"/>
      <c r="P121" s="19"/>
      <c r="Q121" s="18"/>
      <c r="R121" s="18"/>
      <c r="S121" s="18"/>
    </row>
    <row r="122" spans="1:35" ht="27.9" customHeight="1" x14ac:dyDescent="0.25">
      <c r="A122" s="86" t="s">
        <v>411</v>
      </c>
      <c r="B122" s="87"/>
      <c r="C122" s="87"/>
      <c r="D122" s="87"/>
      <c r="E122" s="87"/>
      <c r="F122" s="87"/>
      <c r="G122" s="87"/>
      <c r="H122" s="87"/>
      <c r="I122" s="51">
        <v>1820</v>
      </c>
      <c r="J122" s="49">
        <v>1250</v>
      </c>
      <c r="K122" s="49" t="s">
        <v>412</v>
      </c>
      <c r="L122" s="49"/>
      <c r="M122" s="49"/>
      <c r="N122" s="49" t="s">
        <v>413</v>
      </c>
      <c r="O122" s="18"/>
      <c r="P122" s="19"/>
      <c r="Q122" s="18"/>
      <c r="R122" s="18"/>
      <c r="S122" s="18"/>
    </row>
    <row r="123" spans="1:35" ht="26.4" x14ac:dyDescent="0.25">
      <c r="A123" s="86" t="s">
        <v>127</v>
      </c>
      <c r="B123" s="87"/>
      <c r="C123" s="87"/>
      <c r="D123" s="87"/>
      <c r="E123" s="87"/>
      <c r="F123" s="87"/>
      <c r="G123" s="87"/>
      <c r="H123" s="87"/>
      <c r="I123" s="51">
        <v>873457</v>
      </c>
      <c r="J123" s="49">
        <v>179495</v>
      </c>
      <c r="K123" s="49" t="s">
        <v>414</v>
      </c>
      <c r="L123" s="49">
        <v>658971</v>
      </c>
      <c r="M123" s="49"/>
      <c r="N123" s="49" t="s">
        <v>410</v>
      </c>
      <c r="O123" s="18"/>
      <c r="P123" s="19"/>
      <c r="Q123" s="18"/>
      <c r="R123" s="18"/>
      <c r="S123" s="18"/>
    </row>
    <row r="124" spans="1:35" x14ac:dyDescent="0.25">
      <c r="A124" s="86" t="s">
        <v>129</v>
      </c>
      <c r="B124" s="87"/>
      <c r="C124" s="87"/>
      <c r="D124" s="87"/>
      <c r="E124" s="87"/>
      <c r="F124" s="87"/>
      <c r="G124" s="87"/>
      <c r="H124" s="87"/>
      <c r="I124" s="51">
        <v>156401</v>
      </c>
      <c r="J124" s="49"/>
      <c r="K124" s="49"/>
      <c r="L124" s="49"/>
      <c r="M124" s="49"/>
      <c r="N124" s="49"/>
      <c r="O124" s="18"/>
      <c r="P124" s="19"/>
      <c r="Q124" s="18"/>
      <c r="R124" s="18"/>
      <c r="S124" s="18"/>
    </row>
    <row r="125" spans="1:35" x14ac:dyDescent="0.25">
      <c r="A125" s="86" t="s">
        <v>130</v>
      </c>
      <c r="B125" s="87"/>
      <c r="C125" s="87"/>
      <c r="D125" s="87"/>
      <c r="E125" s="87"/>
      <c r="F125" s="87"/>
      <c r="G125" s="87"/>
      <c r="H125" s="87"/>
      <c r="I125" s="51">
        <v>86534</v>
      </c>
      <c r="J125" s="49"/>
      <c r="K125" s="49"/>
      <c r="L125" s="49"/>
      <c r="M125" s="49"/>
      <c r="N125" s="49"/>
      <c r="O125" s="18"/>
      <c r="P125" s="19"/>
      <c r="Q125" s="18"/>
      <c r="R125" s="18"/>
      <c r="S125" s="18"/>
    </row>
    <row r="126" spans="1:35" ht="26.4" x14ac:dyDescent="0.25">
      <c r="A126" s="90" t="s">
        <v>415</v>
      </c>
      <c r="B126" s="91"/>
      <c r="C126" s="91"/>
      <c r="D126" s="91"/>
      <c r="E126" s="91"/>
      <c r="F126" s="91"/>
      <c r="G126" s="91"/>
      <c r="H126" s="91"/>
      <c r="I126" s="61">
        <v>1116392</v>
      </c>
      <c r="J126" s="62"/>
      <c r="K126" s="62"/>
      <c r="L126" s="62"/>
      <c r="M126" s="62"/>
      <c r="N126" s="62" t="s">
        <v>410</v>
      </c>
      <c r="O126" s="18"/>
      <c r="P126" s="19"/>
      <c r="Q126" s="18"/>
      <c r="R126" s="18"/>
      <c r="S126" s="18"/>
    </row>
    <row r="127" spans="1:35" ht="21" customHeight="1" x14ac:dyDescent="0.25">
      <c r="A127" s="88" t="s">
        <v>416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</row>
    <row r="128" spans="1:35" ht="105.6" x14ac:dyDescent="0.25">
      <c r="A128" s="46">
        <v>84</v>
      </c>
      <c r="B128" s="47" t="s">
        <v>417</v>
      </c>
      <c r="C128" s="48" t="str">
        <f t="shared" ref="C128:C144" ca="1" si="3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Проводник заземляющий открыто по строительным основаниям: из круглой стали диаметром 8 мм
100 м
683 руб. НР 81%=95%*0,85 от ФОТ (843 руб.)
438 руб.СП 52%=65%*0,8 от ФОТ (843 руб.)
</v>
      </c>
      <c r="D128" s="46">
        <v>0.28000000000000003</v>
      </c>
      <c r="E128" s="49" t="s">
        <v>418</v>
      </c>
      <c r="F128" s="49" t="s">
        <v>419</v>
      </c>
      <c r="G128" s="49">
        <v>301.01</v>
      </c>
      <c r="H128" s="50" t="s">
        <v>420</v>
      </c>
      <c r="I128" s="51">
        <v>1254</v>
      </c>
      <c r="J128" s="49">
        <v>843</v>
      </c>
      <c r="K128" s="49">
        <v>121</v>
      </c>
      <c r="L128" s="49" t="str">
        <f>IF(0.28*301.01=0," ",TEXT(,ROUND((0.28*301.01*3.45),2)))</f>
        <v>290.78</v>
      </c>
      <c r="M128" s="49" t="s">
        <v>421</v>
      </c>
      <c r="N128" s="49" t="s">
        <v>422</v>
      </c>
      <c r="O128" s="52"/>
      <c r="P128" s="52"/>
      <c r="Q128" s="52"/>
      <c r="R128" s="52"/>
      <c r="S128" s="52"/>
      <c r="T128" s="53"/>
      <c r="U128" s="53"/>
      <c r="V128" s="53"/>
      <c r="W128" s="53"/>
      <c r="X128" s="53"/>
      <c r="Y128" s="53"/>
      <c r="Z128" s="53"/>
      <c r="AA128" s="53" t="s">
        <v>423</v>
      </c>
      <c r="AB128" s="53" t="s">
        <v>42</v>
      </c>
      <c r="AC128" s="53">
        <v>683</v>
      </c>
      <c r="AD128" s="53">
        <v>438</v>
      </c>
      <c r="AE128" s="53"/>
      <c r="AF128" s="53" t="s">
        <v>424</v>
      </c>
      <c r="AG128" s="53" t="s">
        <v>249</v>
      </c>
      <c r="AH128" s="53"/>
      <c r="AI128" s="53">
        <f>843+0</f>
        <v>843</v>
      </c>
    </row>
    <row r="129" spans="1:35" ht="105.6" x14ac:dyDescent="0.25">
      <c r="A129" s="46">
        <v>85</v>
      </c>
      <c r="B129" s="47" t="s">
        <v>417</v>
      </c>
      <c r="C129" s="48" t="str">
        <f t="shared" ca="1" si="3"/>
        <v xml:space="preserve">Проводник заземляющий открыто по строительным основаниям: из круглой стали диаметром 8 мм
100 м
2975 руб. НР 81%=95%*0,85 от ФОТ (3673 руб.)
1910 руб.СП 52%=65%*0,8 от ФОТ (3673 руб.)
</v>
      </c>
      <c r="D129" s="46">
        <v>1.21</v>
      </c>
      <c r="E129" s="49" t="s">
        <v>418</v>
      </c>
      <c r="F129" s="49" t="s">
        <v>419</v>
      </c>
      <c r="G129" s="49">
        <v>301.01</v>
      </c>
      <c r="H129" s="50" t="s">
        <v>420</v>
      </c>
      <c r="I129" s="51">
        <v>5431</v>
      </c>
      <c r="J129" s="49">
        <v>3641</v>
      </c>
      <c r="K129" s="49" t="s">
        <v>425</v>
      </c>
      <c r="L129" s="49" t="str">
        <f>IF(1.21*301.01=0," ",TEXT(,ROUND((1.21*301.01*3.45),2)))</f>
        <v>1256.57</v>
      </c>
      <c r="M129" s="49" t="s">
        <v>421</v>
      </c>
      <c r="N129" s="49" t="s">
        <v>426</v>
      </c>
      <c r="O129" s="52"/>
      <c r="P129" s="52"/>
      <c r="Q129" s="52"/>
      <c r="R129" s="52"/>
      <c r="S129" s="52"/>
      <c r="T129" s="53"/>
      <c r="U129" s="53"/>
      <c r="V129" s="53"/>
      <c r="W129" s="53"/>
      <c r="X129" s="53"/>
      <c r="Y129" s="53"/>
      <c r="Z129" s="53"/>
      <c r="AA129" s="53" t="s">
        <v>423</v>
      </c>
      <c r="AB129" s="53" t="s">
        <v>42</v>
      </c>
      <c r="AC129" s="53">
        <v>2975</v>
      </c>
      <c r="AD129" s="53">
        <v>1910</v>
      </c>
      <c r="AE129" s="53"/>
      <c r="AF129" s="53" t="s">
        <v>424</v>
      </c>
      <c r="AG129" s="53" t="s">
        <v>249</v>
      </c>
      <c r="AH129" s="53"/>
      <c r="AI129" s="53">
        <f>3641+32</f>
        <v>3673</v>
      </c>
    </row>
    <row r="130" spans="1:35" ht="66" x14ac:dyDescent="0.25">
      <c r="A130" s="46">
        <v>86</v>
      </c>
      <c r="B130" s="47" t="s">
        <v>427</v>
      </c>
      <c r="C130" s="48" t="str">
        <f t="shared" ca="1" si="3"/>
        <v xml:space="preserve">Сталь листовая углеродистая обыкновенного качества марки ВСт3пс5 толщиной: 4-6 мм
т
</v>
      </c>
      <c r="D130" s="46" t="s">
        <v>428</v>
      </c>
      <c r="E130" s="49">
        <v>5763</v>
      </c>
      <c r="F130" s="49"/>
      <c r="G130" s="49">
        <v>5763</v>
      </c>
      <c r="H130" s="50" t="s">
        <v>429</v>
      </c>
      <c r="I130" s="51">
        <v>-1546</v>
      </c>
      <c r="J130" s="49"/>
      <c r="K130" s="49"/>
      <c r="L130" s="49" t="str">
        <f>IF(-0.0596*5763=0," ",TEXT(,ROUND((-0.0596*5763*4.507),2)))</f>
        <v>-1548.04</v>
      </c>
      <c r="M130" s="49"/>
      <c r="N130" s="49"/>
      <c r="O130" s="52"/>
      <c r="P130" s="52"/>
      <c r="Q130" s="52"/>
      <c r="R130" s="52"/>
      <c r="S130" s="52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 t="s">
        <v>430</v>
      </c>
      <c r="AG130" s="53" t="s">
        <v>165</v>
      </c>
      <c r="AH130" s="53"/>
      <c r="AI130" s="53">
        <f>0+0</f>
        <v>0</v>
      </c>
    </row>
    <row r="131" spans="1:35" ht="66" x14ac:dyDescent="0.25">
      <c r="A131" s="46">
        <v>87</v>
      </c>
      <c r="B131" s="47" t="s">
        <v>431</v>
      </c>
      <c r="C131" s="48" t="str">
        <f t="shared" ca="1" si="3"/>
        <v xml:space="preserve">Сталь круглая углеродистая обыкновенного качества марки ВСт3пс5-1 диаметром: 8 мм
т
</v>
      </c>
      <c r="D131" s="46" t="s">
        <v>432</v>
      </c>
      <c r="E131" s="49">
        <v>5230.01</v>
      </c>
      <c r="F131" s="49"/>
      <c r="G131" s="49">
        <v>5230.01</v>
      </c>
      <c r="H131" s="50" t="s">
        <v>433</v>
      </c>
      <c r="I131" s="51">
        <v>1208</v>
      </c>
      <c r="J131" s="49"/>
      <c r="K131" s="49"/>
      <c r="L131" s="49" t="str">
        <f>IF(0.05886*5230.01=0," ",TEXT(,ROUND((0.05886*5230.01*3.922),2)))</f>
        <v>1207.34</v>
      </c>
      <c r="M131" s="49"/>
      <c r="N131" s="49"/>
      <c r="O131" s="52"/>
      <c r="P131" s="52"/>
      <c r="Q131" s="52"/>
      <c r="R131" s="52"/>
      <c r="S131" s="52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 t="s">
        <v>434</v>
      </c>
      <c r="AG131" s="53" t="s">
        <v>165</v>
      </c>
      <c r="AH131" s="53"/>
      <c r="AI131" s="53">
        <f>0+0</f>
        <v>0</v>
      </c>
    </row>
    <row r="132" spans="1:35" ht="92.4" x14ac:dyDescent="0.25">
      <c r="A132" s="46">
        <v>88</v>
      </c>
      <c r="B132" s="47" t="s">
        <v>435</v>
      </c>
      <c r="C132" s="48" t="str">
        <f t="shared" ca="1" si="3"/>
        <v xml:space="preserve">Заземлитель вертикальный из круглой стали диаметром: 16 мм
10 шт.
412 руб. НР 81%=95%*0,85 от ФОТ (509 руб.)
265 руб.СП 52%=65%*0,8 от ФОТ (509 руб.)
</v>
      </c>
      <c r="D132" s="46">
        <v>0.4</v>
      </c>
      <c r="E132" s="49" t="s">
        <v>436</v>
      </c>
      <c r="F132" s="49" t="s">
        <v>437</v>
      </c>
      <c r="G132" s="49">
        <v>25.46</v>
      </c>
      <c r="H132" s="50" t="s">
        <v>438</v>
      </c>
      <c r="I132" s="51">
        <v>746</v>
      </c>
      <c r="J132" s="49">
        <v>493</v>
      </c>
      <c r="K132" s="49" t="s">
        <v>439</v>
      </c>
      <c r="L132" s="49" t="str">
        <f>IF(0.4*25.46=0," ",TEXT(,ROUND((0.4*25.46*6.35),2)))</f>
        <v>64.67</v>
      </c>
      <c r="M132" s="49" t="s">
        <v>440</v>
      </c>
      <c r="N132" s="49" t="s">
        <v>441</v>
      </c>
      <c r="O132" s="52"/>
      <c r="P132" s="52"/>
      <c r="Q132" s="52"/>
      <c r="R132" s="52"/>
      <c r="S132" s="52"/>
      <c r="T132" s="53"/>
      <c r="U132" s="53"/>
      <c r="V132" s="53"/>
      <c r="W132" s="53"/>
      <c r="X132" s="53"/>
      <c r="Y132" s="53"/>
      <c r="Z132" s="53"/>
      <c r="AA132" s="53" t="s">
        <v>423</v>
      </c>
      <c r="AB132" s="53" t="s">
        <v>42</v>
      </c>
      <c r="AC132" s="53">
        <v>412</v>
      </c>
      <c r="AD132" s="53">
        <v>265</v>
      </c>
      <c r="AE132" s="53"/>
      <c r="AF132" s="53" t="s">
        <v>442</v>
      </c>
      <c r="AG132" s="53" t="s">
        <v>443</v>
      </c>
      <c r="AH132" s="53"/>
      <c r="AI132" s="53">
        <f>493+16</f>
        <v>509</v>
      </c>
    </row>
    <row r="133" spans="1:35" ht="66" x14ac:dyDescent="0.25">
      <c r="A133" s="46">
        <v>89</v>
      </c>
      <c r="B133" s="47" t="s">
        <v>444</v>
      </c>
      <c r="C133" s="48" t="str">
        <f t="shared" ca="1" si="3"/>
        <v xml:space="preserve">Сталь круглая углеродистая обыкновенного качества марки ВСт3пс5-1 диаметром: 16 мм
т
</v>
      </c>
      <c r="D133" s="46" t="s">
        <v>445</v>
      </c>
      <c r="E133" s="49">
        <v>5230.01</v>
      </c>
      <c r="F133" s="49"/>
      <c r="G133" s="49">
        <v>5230.01</v>
      </c>
      <c r="H133" s="50" t="s">
        <v>446</v>
      </c>
      <c r="I133" s="51">
        <v>642</v>
      </c>
      <c r="J133" s="49"/>
      <c r="K133" s="49"/>
      <c r="L133" s="49" t="str">
        <f>IF(0.0316*5230.01=0," ",TEXT(,ROUND((0.0316*5230.01*3.889),2)))</f>
        <v>642.73</v>
      </c>
      <c r="M133" s="49"/>
      <c r="N133" s="49"/>
      <c r="O133" s="52"/>
      <c r="P133" s="52"/>
      <c r="Q133" s="52"/>
      <c r="R133" s="52"/>
      <c r="S133" s="52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 t="s">
        <v>447</v>
      </c>
      <c r="AG133" s="53" t="s">
        <v>165</v>
      </c>
      <c r="AH133" s="53"/>
      <c r="AI133" s="53">
        <f>0+0</f>
        <v>0</v>
      </c>
    </row>
    <row r="134" spans="1:35" ht="105.6" x14ac:dyDescent="0.25">
      <c r="A134" s="46">
        <v>90</v>
      </c>
      <c r="B134" s="47" t="s">
        <v>448</v>
      </c>
      <c r="C134" s="48" t="str">
        <f t="shared" ca="1" si="3"/>
        <v xml:space="preserve">Проводник заземляющий открыто по строительным основаниям: из полосовой стали сечением 160 мм2
100 м
129 руб. НР 81%=95%*0,85 от ФОТ (159 руб.)
83 руб.СП 52%=65%*0,8 от ФОТ (159 руб.)
</v>
      </c>
      <c r="D134" s="46">
        <v>5.1999999999999998E-2</v>
      </c>
      <c r="E134" s="49" t="s">
        <v>449</v>
      </c>
      <c r="F134" s="49" t="s">
        <v>450</v>
      </c>
      <c r="G134" s="49">
        <v>106.57</v>
      </c>
      <c r="H134" s="50" t="s">
        <v>420</v>
      </c>
      <c r="I134" s="51">
        <v>214</v>
      </c>
      <c r="J134" s="49">
        <v>159</v>
      </c>
      <c r="K134" s="49">
        <v>34</v>
      </c>
      <c r="L134" s="49" t="str">
        <f>IF(0.052*106.57=0," ",TEXT(,ROUND((0.052*106.57*3.45),2)))</f>
        <v>19.12</v>
      </c>
      <c r="M134" s="49" t="s">
        <v>451</v>
      </c>
      <c r="N134" s="49" t="s">
        <v>452</v>
      </c>
      <c r="O134" s="52"/>
      <c r="P134" s="52"/>
      <c r="Q134" s="52"/>
      <c r="R134" s="52"/>
      <c r="S134" s="52"/>
      <c r="T134" s="53"/>
      <c r="U134" s="53"/>
      <c r="V134" s="53"/>
      <c r="W134" s="53"/>
      <c r="X134" s="53"/>
      <c r="Y134" s="53"/>
      <c r="Z134" s="53"/>
      <c r="AA134" s="53" t="s">
        <v>423</v>
      </c>
      <c r="AB134" s="53" t="s">
        <v>42</v>
      </c>
      <c r="AC134" s="53">
        <v>129</v>
      </c>
      <c r="AD134" s="53">
        <v>83</v>
      </c>
      <c r="AE134" s="53"/>
      <c r="AF134" s="53" t="s">
        <v>453</v>
      </c>
      <c r="AG134" s="53" t="s">
        <v>249</v>
      </c>
      <c r="AH134" s="53"/>
      <c r="AI134" s="53">
        <f>159+0</f>
        <v>159</v>
      </c>
    </row>
    <row r="135" spans="1:35" ht="66" x14ac:dyDescent="0.25">
      <c r="A135" s="46">
        <v>91</v>
      </c>
      <c r="B135" s="47" t="s">
        <v>427</v>
      </c>
      <c r="C135" s="48" t="str">
        <f t="shared" ca="1" si="3"/>
        <v xml:space="preserve">Сталь листовая углеродистая обыкновенного качества марки ВСт3пс5 толщиной: 4-6 мм
т
</v>
      </c>
      <c r="D135" s="46">
        <v>8.1200000000000005E-3</v>
      </c>
      <c r="E135" s="49">
        <v>5763</v>
      </c>
      <c r="F135" s="49"/>
      <c r="G135" s="49">
        <v>5763</v>
      </c>
      <c r="H135" s="50" t="s">
        <v>429</v>
      </c>
      <c r="I135" s="51">
        <v>212</v>
      </c>
      <c r="J135" s="49"/>
      <c r="K135" s="49"/>
      <c r="L135" s="49" t="str">
        <f>IF(0.00812*5763=0," ",TEXT(,ROUND((0.00812*5763*4.507),2)))</f>
        <v>210.91</v>
      </c>
      <c r="M135" s="49"/>
      <c r="N135" s="49"/>
      <c r="O135" s="52"/>
      <c r="P135" s="52"/>
      <c r="Q135" s="52"/>
      <c r="R135" s="52"/>
      <c r="S135" s="52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 t="s">
        <v>430</v>
      </c>
      <c r="AG135" s="53" t="s">
        <v>165</v>
      </c>
      <c r="AH135" s="53"/>
      <c r="AI135" s="53">
        <f>0+0</f>
        <v>0</v>
      </c>
    </row>
    <row r="136" spans="1:35" ht="105.6" x14ac:dyDescent="0.25">
      <c r="A136" s="46">
        <v>92</v>
      </c>
      <c r="B136" s="47" t="s">
        <v>454</v>
      </c>
      <c r="C136" s="48" t="str">
        <f t="shared" ca="1" si="3"/>
        <v xml:space="preserve">Проводник заземляющий открыто по строительным основаниям: из круглой стали диаметром 12 мм
100 м
2769 руб. НР 81%=95%*0,85 от ФОТ (3419 руб.)
1778 руб.СП 52%=65%*0,8 от ФОТ (3419 руб.)
</v>
      </c>
      <c r="D136" s="46" t="s">
        <v>455</v>
      </c>
      <c r="E136" s="49" t="s">
        <v>456</v>
      </c>
      <c r="F136" s="49" t="s">
        <v>457</v>
      </c>
      <c r="G136" s="49">
        <v>105.21</v>
      </c>
      <c r="H136" s="50" t="s">
        <v>420</v>
      </c>
      <c r="I136" s="51">
        <v>4393</v>
      </c>
      <c r="J136" s="49">
        <v>3371</v>
      </c>
      <c r="K136" s="49" t="s">
        <v>458</v>
      </c>
      <c r="L136" s="49" t="str">
        <f>IF(1.06*105.21=0," ",TEXT(,ROUND((1.06*105.21*3.45),2)))</f>
        <v>384.75</v>
      </c>
      <c r="M136" s="49" t="s">
        <v>459</v>
      </c>
      <c r="N136" s="49" t="s">
        <v>460</v>
      </c>
      <c r="O136" s="52"/>
      <c r="P136" s="52"/>
      <c r="Q136" s="52"/>
      <c r="R136" s="52"/>
      <c r="S136" s="52"/>
      <c r="T136" s="53"/>
      <c r="U136" s="53"/>
      <c r="V136" s="53"/>
      <c r="W136" s="53"/>
      <c r="X136" s="53"/>
      <c r="Y136" s="53"/>
      <c r="Z136" s="53"/>
      <c r="AA136" s="53" t="s">
        <v>423</v>
      </c>
      <c r="AB136" s="53" t="s">
        <v>42</v>
      </c>
      <c r="AC136" s="53">
        <v>2769</v>
      </c>
      <c r="AD136" s="53">
        <v>1778</v>
      </c>
      <c r="AE136" s="53"/>
      <c r="AF136" s="53" t="s">
        <v>461</v>
      </c>
      <c r="AG136" s="53" t="s">
        <v>249</v>
      </c>
      <c r="AH136" s="53"/>
      <c r="AI136" s="53">
        <f>3371+48</f>
        <v>3419</v>
      </c>
    </row>
    <row r="137" spans="1:35" ht="66" x14ac:dyDescent="0.25">
      <c r="A137" s="46">
        <v>93</v>
      </c>
      <c r="B137" s="47" t="s">
        <v>427</v>
      </c>
      <c r="C137" s="48" t="str">
        <f t="shared" ca="1" si="3"/>
        <v xml:space="preserve">Сталь листовая углеродистая обыкновенного качества марки ВСт3пс5 толщиной: 4-6 мм
т
</v>
      </c>
      <c r="D137" s="46">
        <v>-4.1999999999999997E-3</v>
      </c>
      <c r="E137" s="49">
        <v>5763</v>
      </c>
      <c r="F137" s="49"/>
      <c r="G137" s="49">
        <v>5763</v>
      </c>
      <c r="H137" s="50" t="s">
        <v>429</v>
      </c>
      <c r="I137" s="51">
        <v>-108</v>
      </c>
      <c r="J137" s="49"/>
      <c r="K137" s="49"/>
      <c r="L137" s="49" t="str">
        <f>IF(-0.0042*5763=0," ",TEXT(,ROUND((-0.0042*5763*4.507),2)))</f>
        <v>-109.09</v>
      </c>
      <c r="M137" s="49"/>
      <c r="N137" s="49"/>
      <c r="O137" s="52"/>
      <c r="P137" s="52"/>
      <c r="Q137" s="52"/>
      <c r="R137" s="52"/>
      <c r="S137" s="52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 t="s">
        <v>430</v>
      </c>
      <c r="AG137" s="53" t="s">
        <v>165</v>
      </c>
      <c r="AH137" s="53"/>
      <c r="AI137" s="53">
        <f>0+0</f>
        <v>0</v>
      </c>
    </row>
    <row r="138" spans="1:35" ht="66" x14ac:dyDescent="0.25">
      <c r="A138" s="46">
        <v>94</v>
      </c>
      <c r="B138" s="47" t="s">
        <v>444</v>
      </c>
      <c r="C138" s="48" t="str">
        <f t="shared" ca="1" si="3"/>
        <v xml:space="preserve">Сталь круглая углеродистая обыкновенного качества марки ВСт3пс5-1 диаметром: 16 мм
т
</v>
      </c>
      <c r="D138" s="46" t="s">
        <v>462</v>
      </c>
      <c r="E138" s="49">
        <v>5230.01</v>
      </c>
      <c r="F138" s="49"/>
      <c r="G138" s="49">
        <v>5230.01</v>
      </c>
      <c r="H138" s="50" t="s">
        <v>446</v>
      </c>
      <c r="I138" s="51">
        <v>3407</v>
      </c>
      <c r="J138" s="49"/>
      <c r="K138" s="49"/>
      <c r="L138" s="49" t="str">
        <f>IF(0.16748*5230.01=0," ",TEXT(,ROUND((0.16748*5230.01*3.889),2)))</f>
        <v>3406.46</v>
      </c>
      <c r="M138" s="49"/>
      <c r="N138" s="49"/>
      <c r="O138" s="52"/>
      <c r="P138" s="52"/>
      <c r="Q138" s="52"/>
      <c r="R138" s="52"/>
      <c r="S138" s="52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 t="s">
        <v>447</v>
      </c>
      <c r="AG138" s="53" t="s">
        <v>165</v>
      </c>
      <c r="AH138" s="53"/>
      <c r="AI138" s="53">
        <f>0+0</f>
        <v>0</v>
      </c>
    </row>
    <row r="139" spans="1:35" ht="66" x14ac:dyDescent="0.25">
      <c r="A139" s="46">
        <v>95</v>
      </c>
      <c r="B139" s="47" t="s">
        <v>463</v>
      </c>
      <c r="C139" s="48" t="str">
        <f t="shared" ca="1" si="3"/>
        <v xml:space="preserve">Зажим угловой коньковый 100мм ДКС ND2202 154,98/1,18/5,63=23,33
шт
</v>
      </c>
      <c r="D139" s="46">
        <v>61</v>
      </c>
      <c r="E139" s="49">
        <v>23.33</v>
      </c>
      <c r="F139" s="49"/>
      <c r="G139" s="49">
        <v>23.33</v>
      </c>
      <c r="H139" s="50" t="s">
        <v>186</v>
      </c>
      <c r="I139" s="51">
        <v>8011</v>
      </c>
      <c r="J139" s="49"/>
      <c r="K139" s="49"/>
      <c r="L139" s="49" t="str">
        <f>IF(61*23.33=0," ",TEXT(,ROUND((61*23.33*5.63),2)))</f>
        <v>8012.22</v>
      </c>
      <c r="M139" s="49"/>
      <c r="N139" s="49"/>
      <c r="O139" s="52"/>
      <c r="P139" s="52"/>
      <c r="Q139" s="52"/>
      <c r="R139" s="52"/>
      <c r="S139" s="52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 t="s">
        <v>464</v>
      </c>
      <c r="AG139" s="53" t="s">
        <v>372</v>
      </c>
      <c r="AH139" s="53"/>
      <c r="AI139" s="53">
        <f>0+0</f>
        <v>0</v>
      </c>
    </row>
    <row r="140" spans="1:35" ht="79.2" x14ac:dyDescent="0.25">
      <c r="A140" s="46">
        <v>96</v>
      </c>
      <c r="B140" s="47" t="s">
        <v>463</v>
      </c>
      <c r="C140" s="48" t="str">
        <f t="shared" ca="1" si="3"/>
        <v xml:space="preserve">Держатель проволоки d8мм кровельный 55мм (пластик) FOREND F21214 281,82/1,18/5,63=42,42
шт
</v>
      </c>
      <c r="D140" s="46">
        <v>63</v>
      </c>
      <c r="E140" s="49">
        <v>42.42</v>
      </c>
      <c r="F140" s="49"/>
      <c r="G140" s="49">
        <v>42.42</v>
      </c>
      <c r="H140" s="50" t="s">
        <v>186</v>
      </c>
      <c r="I140" s="51">
        <v>15043</v>
      </c>
      <c r="J140" s="49"/>
      <c r="K140" s="49"/>
      <c r="L140" s="49" t="str">
        <f>IF(63*42.42=0," ",TEXT(,ROUND((63*42.42*5.63),2)))</f>
        <v>15045.95</v>
      </c>
      <c r="M140" s="49"/>
      <c r="N140" s="49"/>
      <c r="O140" s="52"/>
      <c r="P140" s="52"/>
      <c r="Q140" s="52"/>
      <c r="R140" s="52"/>
      <c r="S140" s="52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 t="s">
        <v>465</v>
      </c>
      <c r="AG140" s="53" t="s">
        <v>372</v>
      </c>
      <c r="AH140" s="53"/>
      <c r="AI140" s="53">
        <f>0+0</f>
        <v>0</v>
      </c>
    </row>
    <row r="141" spans="1:35" ht="66" x14ac:dyDescent="0.25">
      <c r="A141" s="46">
        <v>97</v>
      </c>
      <c r="B141" s="47" t="s">
        <v>463</v>
      </c>
      <c r="C141" s="48" t="str">
        <f t="shared" ca="1" si="3"/>
        <v xml:space="preserve">Держатель фасадный 160мм ДКС ND2301 327,04/1,18/5,63=49,23
шт
</v>
      </c>
      <c r="D141" s="46" t="s">
        <v>466</v>
      </c>
      <c r="E141" s="49">
        <v>49.23</v>
      </c>
      <c r="F141" s="49"/>
      <c r="G141" s="49">
        <v>49.23</v>
      </c>
      <c r="H141" s="50" t="s">
        <v>186</v>
      </c>
      <c r="I141" s="51">
        <v>32981</v>
      </c>
      <c r="J141" s="49"/>
      <c r="K141" s="49"/>
      <c r="L141" s="49" t="str">
        <f>IF(119*49.23=0," ",TEXT(,ROUND((119*49.23*5.63),2)))</f>
        <v>32982.62</v>
      </c>
      <c r="M141" s="49"/>
      <c r="N141" s="49"/>
      <c r="O141" s="52"/>
      <c r="P141" s="52"/>
      <c r="Q141" s="52"/>
      <c r="R141" s="52"/>
      <c r="S141" s="52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 t="s">
        <v>467</v>
      </c>
      <c r="AG141" s="53" t="s">
        <v>372</v>
      </c>
      <c r="AH141" s="53"/>
      <c r="AI141" s="53">
        <f>0+0</f>
        <v>0</v>
      </c>
    </row>
    <row r="142" spans="1:35" ht="92.4" x14ac:dyDescent="0.25">
      <c r="A142" s="46">
        <v>98</v>
      </c>
      <c r="B142" s="47" t="s">
        <v>468</v>
      </c>
      <c r="C142" s="48" t="str">
        <f t="shared" ca="1" si="3"/>
        <v xml:space="preserve">Бурение ям глубиной до 2 м бурильно-крановыми машинами: на автомобиле, группа грунтов 2
100 ям
203 руб. НР 80% от ФОТ (254 руб.)
114 руб.СП 45% от ФОТ (254 руб.)
</v>
      </c>
      <c r="D142" s="46">
        <v>0.04</v>
      </c>
      <c r="E142" s="49" t="s">
        <v>469</v>
      </c>
      <c r="F142" s="49" t="s">
        <v>470</v>
      </c>
      <c r="G142" s="49"/>
      <c r="H142" s="50" t="s">
        <v>471</v>
      </c>
      <c r="I142" s="51">
        <v>876</v>
      </c>
      <c r="J142" s="49">
        <v>95</v>
      </c>
      <c r="K142" s="49" t="s">
        <v>472</v>
      </c>
      <c r="L142" s="49" t="str">
        <f>IF(0.04*0=0," ",TEXT(,ROUND((0.04*0*1),2)))</f>
        <v xml:space="preserve"> </v>
      </c>
      <c r="M142" s="49" t="s">
        <v>473</v>
      </c>
      <c r="N142" s="49" t="s">
        <v>474</v>
      </c>
      <c r="O142" s="52"/>
      <c r="P142" s="52"/>
      <c r="Q142" s="52"/>
      <c r="R142" s="52"/>
      <c r="S142" s="52"/>
      <c r="T142" s="53"/>
      <c r="U142" s="53"/>
      <c r="V142" s="53"/>
      <c r="W142" s="53"/>
      <c r="X142" s="53"/>
      <c r="Y142" s="53"/>
      <c r="Z142" s="53"/>
      <c r="AA142" s="53" t="s">
        <v>475</v>
      </c>
      <c r="AB142" s="53" t="s">
        <v>476</v>
      </c>
      <c r="AC142" s="53">
        <v>203</v>
      </c>
      <c r="AD142" s="53">
        <v>114</v>
      </c>
      <c r="AE142" s="53"/>
      <c r="AF142" s="53" t="s">
        <v>477</v>
      </c>
      <c r="AG142" s="53" t="s">
        <v>478</v>
      </c>
      <c r="AH142" s="53"/>
      <c r="AI142" s="53">
        <f>95+159</f>
        <v>254</v>
      </c>
    </row>
    <row r="143" spans="1:35" ht="118.8" x14ac:dyDescent="0.25">
      <c r="A143" s="46">
        <v>99</v>
      </c>
      <c r="B143" s="47" t="s">
        <v>479</v>
      </c>
      <c r="C143" s="48" t="str">
        <f t="shared" ca="1" si="3"/>
        <v xml:space="preserve">Огрунтовка металлических поверхностей за один раз: грунтовкой ГФ-021
100 м2 окрашиваемой поверхности
99 руб. НР 69%=90%*(0,85*0,9) от ФОТ (143 руб.)
69 руб.СП 48%=70%*(0,8*0,85) от ФОТ (143 руб.)
</v>
      </c>
      <c r="D143" s="46">
        <v>0.14299999999999999</v>
      </c>
      <c r="E143" s="49" t="s">
        <v>480</v>
      </c>
      <c r="F143" s="49" t="s">
        <v>481</v>
      </c>
      <c r="G143" s="49">
        <v>202.72</v>
      </c>
      <c r="H143" s="50" t="s">
        <v>482</v>
      </c>
      <c r="I143" s="51">
        <v>293</v>
      </c>
      <c r="J143" s="49">
        <v>143</v>
      </c>
      <c r="K143" s="49">
        <v>11</v>
      </c>
      <c r="L143" s="49" t="str">
        <f>IF(0.143*202.72=0," ",TEXT(,ROUND((0.143*202.72*4.81),2)))</f>
        <v>139.44</v>
      </c>
      <c r="M143" s="49" t="s">
        <v>483</v>
      </c>
      <c r="N143" s="49">
        <v>0.76</v>
      </c>
      <c r="O143" s="52"/>
      <c r="P143" s="52"/>
      <c r="Q143" s="52"/>
      <c r="R143" s="52"/>
      <c r="S143" s="52"/>
      <c r="T143" s="53"/>
      <c r="U143" s="53"/>
      <c r="V143" s="53"/>
      <c r="W143" s="53"/>
      <c r="X143" s="53"/>
      <c r="Y143" s="53"/>
      <c r="Z143" s="53"/>
      <c r="AA143" s="53" t="s">
        <v>225</v>
      </c>
      <c r="AB143" s="53" t="s">
        <v>35</v>
      </c>
      <c r="AC143" s="53">
        <v>99</v>
      </c>
      <c r="AD143" s="53">
        <v>69</v>
      </c>
      <c r="AE143" s="53"/>
      <c r="AF143" s="53" t="s">
        <v>484</v>
      </c>
      <c r="AG143" s="53" t="s">
        <v>485</v>
      </c>
      <c r="AH143" s="53"/>
      <c r="AI143" s="53">
        <f>143+0</f>
        <v>143</v>
      </c>
    </row>
    <row r="144" spans="1:35" ht="145.19999999999999" x14ac:dyDescent="0.25">
      <c r="A144" s="55">
        <v>100</v>
      </c>
      <c r="B144" s="56" t="s">
        <v>486</v>
      </c>
      <c r="C144" s="57" t="str">
        <f t="shared" ca="1" si="3"/>
        <v xml:space="preserve">Окраска металлических огрунтованных поверхностей: эмалью ПФ-115
100 м2 окрашиваемой поверхности
(За 2 раза ПЗ=2 (ОЗП=2; ЭМ=2 к расх.; ЗПМ=2; МАТ=2 к расх.; ТЗ=2; ТЗМ=2))
132 руб. НР 69%=90%*(0,85*0,9) от ФОТ (191 руб.)
92 руб.СП 48%=70%*(0,8*0,85) от ФОТ (191 руб.)
</v>
      </c>
      <c r="D144" s="55">
        <v>0.14299999999999999</v>
      </c>
      <c r="E144" s="58" t="s">
        <v>487</v>
      </c>
      <c r="F144" s="58" t="s">
        <v>488</v>
      </c>
      <c r="G144" s="58">
        <v>562.55999999999995</v>
      </c>
      <c r="H144" s="59" t="s">
        <v>489</v>
      </c>
      <c r="I144" s="60">
        <v>707</v>
      </c>
      <c r="J144" s="58">
        <v>191</v>
      </c>
      <c r="K144" s="58">
        <v>33</v>
      </c>
      <c r="L144" s="58" t="str">
        <f>IF(0.143*562.56=0," ",TEXT(,ROUND((0.143*562.56*6.04),2)))</f>
        <v>485.89</v>
      </c>
      <c r="M144" s="58" t="s">
        <v>490</v>
      </c>
      <c r="N144" s="58">
        <v>1.1000000000000001</v>
      </c>
      <c r="O144" s="52"/>
      <c r="P144" s="52"/>
      <c r="Q144" s="52"/>
      <c r="R144" s="52"/>
      <c r="S144" s="52"/>
      <c r="T144" s="53"/>
      <c r="U144" s="53"/>
      <c r="V144" s="53"/>
      <c r="W144" s="53"/>
      <c r="X144" s="53"/>
      <c r="Y144" s="53"/>
      <c r="Z144" s="53"/>
      <c r="AA144" s="53" t="s">
        <v>225</v>
      </c>
      <c r="AB144" s="53" t="s">
        <v>35</v>
      </c>
      <c r="AC144" s="53">
        <v>132</v>
      </c>
      <c r="AD144" s="53">
        <v>92</v>
      </c>
      <c r="AE144" s="53" t="s">
        <v>491</v>
      </c>
      <c r="AF144" s="53" t="s">
        <v>492</v>
      </c>
      <c r="AG144" s="53" t="s">
        <v>485</v>
      </c>
      <c r="AH144" s="53"/>
      <c r="AI144" s="53">
        <f>191+0</f>
        <v>191</v>
      </c>
    </row>
    <row r="145" spans="1:35" ht="26.4" x14ac:dyDescent="0.25">
      <c r="A145" s="86" t="s">
        <v>124</v>
      </c>
      <c r="B145" s="87"/>
      <c r="C145" s="87"/>
      <c r="D145" s="87"/>
      <c r="E145" s="87"/>
      <c r="F145" s="87"/>
      <c r="G145" s="87"/>
      <c r="H145" s="87"/>
      <c r="I145" s="51">
        <v>12495</v>
      </c>
      <c r="J145" s="49">
        <v>558</v>
      </c>
      <c r="K145" s="49" t="s">
        <v>493</v>
      </c>
      <c r="L145" s="49">
        <v>11667</v>
      </c>
      <c r="M145" s="49"/>
      <c r="N145" s="49" t="s">
        <v>494</v>
      </c>
      <c r="O145" s="18"/>
      <c r="P145" s="19"/>
      <c r="Q145" s="18"/>
      <c r="R145" s="18"/>
      <c r="S145" s="18"/>
    </row>
    <row r="146" spans="1:35" ht="26.4" x14ac:dyDescent="0.25">
      <c r="A146" s="86" t="s">
        <v>234</v>
      </c>
      <c r="B146" s="87"/>
      <c r="C146" s="87"/>
      <c r="D146" s="87"/>
      <c r="E146" s="87"/>
      <c r="F146" s="87"/>
      <c r="G146" s="87"/>
      <c r="H146" s="87"/>
      <c r="I146" s="51">
        <v>12523</v>
      </c>
      <c r="J146" s="49">
        <v>562</v>
      </c>
      <c r="K146" s="49" t="s">
        <v>495</v>
      </c>
      <c r="L146" s="49">
        <v>11667</v>
      </c>
      <c r="M146" s="49"/>
      <c r="N146" s="49" t="s">
        <v>496</v>
      </c>
      <c r="O146" s="18"/>
      <c r="P146" s="19"/>
      <c r="Q146" s="18"/>
      <c r="R146" s="18"/>
      <c r="S146" s="18"/>
    </row>
    <row r="147" spans="1:35" x14ac:dyDescent="0.25">
      <c r="A147" s="86" t="s">
        <v>237</v>
      </c>
      <c r="B147" s="87"/>
      <c r="C147" s="87"/>
      <c r="D147" s="87"/>
      <c r="E147" s="87"/>
      <c r="F147" s="87"/>
      <c r="G147" s="87"/>
      <c r="H147" s="87"/>
      <c r="I147" s="51"/>
      <c r="J147" s="49"/>
      <c r="K147" s="49"/>
      <c r="L147" s="49"/>
      <c r="M147" s="49"/>
      <c r="N147" s="49"/>
      <c r="O147" s="18"/>
      <c r="P147" s="19"/>
      <c r="Q147" s="18"/>
      <c r="R147" s="18"/>
      <c r="S147" s="18"/>
    </row>
    <row r="148" spans="1:35" ht="27.9" customHeight="1" x14ac:dyDescent="0.25">
      <c r="A148" s="86" t="s">
        <v>497</v>
      </c>
      <c r="B148" s="87"/>
      <c r="C148" s="87"/>
      <c r="D148" s="87"/>
      <c r="E148" s="87"/>
      <c r="F148" s="87"/>
      <c r="G148" s="87"/>
      <c r="H148" s="87"/>
      <c r="I148" s="51">
        <v>28</v>
      </c>
      <c r="J148" s="49">
        <v>3</v>
      </c>
      <c r="K148" s="49" t="s">
        <v>498</v>
      </c>
      <c r="L148" s="49"/>
      <c r="M148" s="49"/>
      <c r="N148" s="49" t="s">
        <v>499</v>
      </c>
      <c r="O148" s="18"/>
      <c r="P148" s="19"/>
      <c r="Q148" s="18"/>
      <c r="R148" s="18"/>
      <c r="S148" s="18"/>
    </row>
    <row r="149" spans="1:35" ht="26.4" x14ac:dyDescent="0.25">
      <c r="A149" s="86" t="s">
        <v>127</v>
      </c>
      <c r="B149" s="87"/>
      <c r="C149" s="87"/>
      <c r="D149" s="87"/>
      <c r="E149" s="87"/>
      <c r="F149" s="87"/>
      <c r="G149" s="87"/>
      <c r="H149" s="87"/>
      <c r="I149" s="51">
        <v>73763</v>
      </c>
      <c r="J149" s="49">
        <v>8936</v>
      </c>
      <c r="K149" s="49" t="s">
        <v>500</v>
      </c>
      <c r="L149" s="49">
        <v>62488</v>
      </c>
      <c r="M149" s="49"/>
      <c r="N149" s="49" t="s">
        <v>496</v>
      </c>
      <c r="O149" s="18"/>
      <c r="P149" s="19"/>
      <c r="Q149" s="18"/>
      <c r="R149" s="18"/>
      <c r="S149" s="18"/>
    </row>
    <row r="150" spans="1:35" x14ac:dyDescent="0.25">
      <c r="A150" s="86" t="s">
        <v>129</v>
      </c>
      <c r="B150" s="87"/>
      <c r="C150" s="87"/>
      <c r="D150" s="87"/>
      <c r="E150" s="87"/>
      <c r="F150" s="87"/>
      <c r="G150" s="87"/>
      <c r="H150" s="87"/>
      <c r="I150" s="51">
        <v>7401</v>
      </c>
      <c r="J150" s="49"/>
      <c r="K150" s="49"/>
      <c r="L150" s="49"/>
      <c r="M150" s="49"/>
      <c r="N150" s="49"/>
      <c r="O150" s="18"/>
      <c r="P150" s="19"/>
      <c r="Q150" s="18"/>
      <c r="R150" s="18"/>
      <c r="S150" s="18"/>
    </row>
    <row r="151" spans="1:35" x14ac:dyDescent="0.25">
      <c r="A151" s="86" t="s">
        <v>130</v>
      </c>
      <c r="B151" s="87"/>
      <c r="C151" s="87"/>
      <c r="D151" s="87"/>
      <c r="E151" s="87"/>
      <c r="F151" s="87"/>
      <c r="G151" s="87"/>
      <c r="H151" s="87"/>
      <c r="I151" s="51">
        <v>4748</v>
      </c>
      <c r="J151" s="49"/>
      <c r="K151" s="49"/>
      <c r="L151" s="49"/>
      <c r="M151" s="49"/>
      <c r="N151" s="49"/>
      <c r="O151" s="18"/>
      <c r="P151" s="19"/>
      <c r="Q151" s="18"/>
      <c r="R151" s="18"/>
      <c r="S151" s="18"/>
    </row>
    <row r="152" spans="1:35" ht="26.4" x14ac:dyDescent="0.25">
      <c r="A152" s="90" t="s">
        <v>501</v>
      </c>
      <c r="B152" s="91"/>
      <c r="C152" s="91"/>
      <c r="D152" s="91"/>
      <c r="E152" s="91"/>
      <c r="F152" s="91"/>
      <c r="G152" s="91"/>
      <c r="H152" s="91"/>
      <c r="I152" s="61">
        <v>85912</v>
      </c>
      <c r="J152" s="62"/>
      <c r="K152" s="62"/>
      <c r="L152" s="62"/>
      <c r="M152" s="62"/>
      <c r="N152" s="62" t="s">
        <v>496</v>
      </c>
      <c r="O152" s="18"/>
      <c r="P152" s="19"/>
      <c r="Q152" s="18"/>
      <c r="R152" s="18"/>
      <c r="S152" s="18"/>
    </row>
    <row r="153" spans="1:35" ht="21" customHeight="1" x14ac:dyDescent="0.25">
      <c r="A153" s="88" t="s">
        <v>502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</row>
    <row r="154" spans="1:35" ht="79.2" x14ac:dyDescent="0.25">
      <c r="A154" s="46">
        <v>101</v>
      </c>
      <c r="B154" s="47" t="s">
        <v>503</v>
      </c>
      <c r="C154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вручную
1 т груза
</v>
      </c>
      <c r="D154" s="46" t="s">
        <v>504</v>
      </c>
      <c r="E154" s="49" t="s">
        <v>505</v>
      </c>
      <c r="F154" s="49"/>
      <c r="G154" s="49"/>
      <c r="H154" s="50" t="s">
        <v>506</v>
      </c>
      <c r="I154" s="51">
        <v>753</v>
      </c>
      <c r="J154" s="49">
        <v>753</v>
      </c>
      <c r="K154" s="49"/>
      <c r="L154" s="49" t="str">
        <f>IF(1.62*0=0," ",TEXT(,ROUND((1.62*0*1),2)))</f>
        <v xml:space="preserve"> </v>
      </c>
      <c r="M154" s="49"/>
      <c r="N154" s="49"/>
      <c r="O154" s="52"/>
      <c r="P154" s="52"/>
      <c r="Q154" s="52"/>
      <c r="R154" s="52"/>
      <c r="S154" s="52"/>
      <c r="T154" s="53"/>
      <c r="U154" s="53"/>
      <c r="V154" s="53"/>
      <c r="W154" s="53"/>
      <c r="X154" s="53"/>
      <c r="Y154" s="53"/>
      <c r="Z154" s="53"/>
      <c r="AA154" s="53" t="s">
        <v>507</v>
      </c>
      <c r="AB154" s="53" t="s">
        <v>508</v>
      </c>
      <c r="AC154" s="53"/>
      <c r="AD154" s="53"/>
      <c r="AE154" s="53"/>
      <c r="AF154" s="53" t="s">
        <v>509</v>
      </c>
      <c r="AG154" s="53" t="s">
        <v>510</v>
      </c>
      <c r="AH154" s="53"/>
      <c r="AI154" s="53">
        <f>753+0</f>
        <v>753</v>
      </c>
    </row>
    <row r="155" spans="1:35" ht="79.2" x14ac:dyDescent="0.25">
      <c r="A155" s="46">
        <v>102</v>
      </c>
      <c r="B155" s="47" t="s">
        <v>511</v>
      </c>
      <c r="C155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экскаваторами емкостью ковша до 0,5 м3
1 т груза
</v>
      </c>
      <c r="D155" s="46" t="s">
        <v>512</v>
      </c>
      <c r="E155" s="49">
        <v>3.28</v>
      </c>
      <c r="F155" s="49">
        <v>3.28</v>
      </c>
      <c r="G155" s="49"/>
      <c r="H155" s="50" t="s">
        <v>513</v>
      </c>
      <c r="I155" s="51">
        <v>1981</v>
      </c>
      <c r="J155" s="49"/>
      <c r="K155" s="49">
        <v>1981</v>
      </c>
      <c r="L155" s="49" t="str">
        <f>IF(52.38*0=0," ",TEXT(,ROUND((52.38*0*1),2)))</f>
        <v xml:space="preserve"> </v>
      </c>
      <c r="M155" s="49"/>
      <c r="N155" s="49"/>
      <c r="O155" s="52"/>
      <c r="P155" s="52"/>
      <c r="Q155" s="52"/>
      <c r="R155" s="52"/>
      <c r="S155" s="52"/>
      <c r="T155" s="53"/>
      <c r="U155" s="53"/>
      <c r="V155" s="53"/>
      <c r="W155" s="53"/>
      <c r="X155" s="53"/>
      <c r="Y155" s="53"/>
      <c r="Z155" s="53"/>
      <c r="AA155" s="53" t="s">
        <v>507</v>
      </c>
      <c r="AB155" s="53" t="s">
        <v>508</v>
      </c>
      <c r="AC155" s="53"/>
      <c r="AD155" s="53"/>
      <c r="AE155" s="53"/>
      <c r="AF155" s="53" t="s">
        <v>514</v>
      </c>
      <c r="AG155" s="53" t="s">
        <v>510</v>
      </c>
      <c r="AH155" s="53"/>
      <c r="AI155" s="53">
        <f>0+0</f>
        <v>0</v>
      </c>
    </row>
    <row r="156" spans="1:35" ht="87.75" customHeight="1" x14ac:dyDescent="0.25">
      <c r="A156" s="55">
        <v>103</v>
      </c>
      <c r="B156" s="56" t="s">
        <v>515</v>
      </c>
      <c r="C156" s="57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Перевозка грузов автомобилями-самосвалами грузоподъемностью 10 т, работающих вне карьера, на расстояние: до 15 км I класс груза
1 т груза
</v>
      </c>
      <c r="D156" s="55">
        <v>54</v>
      </c>
      <c r="E156" s="58">
        <v>13.38</v>
      </c>
      <c r="F156" s="58">
        <v>13.38</v>
      </c>
      <c r="G156" s="58"/>
      <c r="H156" s="59" t="s">
        <v>516</v>
      </c>
      <c r="I156" s="60">
        <v>7100</v>
      </c>
      <c r="J156" s="58"/>
      <c r="K156" s="58">
        <v>7100</v>
      </c>
      <c r="L156" s="58" t="str">
        <f>IF(54*0=0," ",TEXT(,ROUND((54*0*1),2)))</f>
        <v xml:space="preserve"> </v>
      </c>
      <c r="M156" s="58"/>
      <c r="N156" s="58"/>
      <c r="O156" s="52"/>
      <c r="P156" s="52"/>
      <c r="Q156" s="52"/>
      <c r="R156" s="52"/>
      <c r="S156" s="52"/>
      <c r="T156" s="53"/>
      <c r="U156" s="53"/>
      <c r="V156" s="53"/>
      <c r="W156" s="53"/>
      <c r="X156" s="53"/>
      <c r="Y156" s="53"/>
      <c r="Z156" s="53"/>
      <c r="AA156" s="53" t="s">
        <v>158</v>
      </c>
      <c r="AB156" s="53" t="s">
        <v>159</v>
      </c>
      <c r="AC156" s="53"/>
      <c r="AD156" s="53"/>
      <c r="AE156" s="53"/>
      <c r="AF156" s="53" t="s">
        <v>517</v>
      </c>
      <c r="AG156" s="53" t="s">
        <v>510</v>
      </c>
      <c r="AH156" s="53"/>
      <c r="AI156" s="53">
        <f>0+0</f>
        <v>0</v>
      </c>
    </row>
    <row r="157" spans="1:35" x14ac:dyDescent="0.25">
      <c r="A157" s="86" t="s">
        <v>124</v>
      </c>
      <c r="B157" s="87"/>
      <c r="C157" s="87"/>
      <c r="D157" s="87"/>
      <c r="E157" s="87"/>
      <c r="F157" s="87"/>
      <c r="G157" s="87"/>
      <c r="H157" s="87"/>
      <c r="I157" s="51">
        <v>965</v>
      </c>
      <c r="J157" s="49">
        <v>70</v>
      </c>
      <c r="K157" s="49">
        <v>895</v>
      </c>
      <c r="L157" s="49"/>
      <c r="M157" s="49"/>
      <c r="N157" s="49"/>
      <c r="O157" s="18"/>
      <c r="P157" s="19"/>
      <c r="Q157" s="18"/>
      <c r="R157" s="18"/>
      <c r="S157" s="18"/>
    </row>
    <row r="158" spans="1:35" x14ac:dyDescent="0.25">
      <c r="A158" s="86" t="s">
        <v>127</v>
      </c>
      <c r="B158" s="87"/>
      <c r="C158" s="87"/>
      <c r="D158" s="87"/>
      <c r="E158" s="87"/>
      <c r="F158" s="87"/>
      <c r="G158" s="87"/>
      <c r="H158" s="87"/>
      <c r="I158" s="51">
        <v>9834</v>
      </c>
      <c r="J158" s="49">
        <v>753</v>
      </c>
      <c r="K158" s="49">
        <v>9081</v>
      </c>
      <c r="L158" s="49"/>
      <c r="M158" s="49"/>
      <c r="N158" s="49"/>
      <c r="O158" s="18"/>
      <c r="P158" s="19"/>
      <c r="Q158" s="18"/>
      <c r="R158" s="18"/>
      <c r="S158" s="18"/>
    </row>
    <row r="159" spans="1:35" x14ac:dyDescent="0.25">
      <c r="A159" s="90" t="s">
        <v>518</v>
      </c>
      <c r="B159" s="91"/>
      <c r="C159" s="91"/>
      <c r="D159" s="91"/>
      <c r="E159" s="91"/>
      <c r="F159" s="91"/>
      <c r="G159" s="91"/>
      <c r="H159" s="91"/>
      <c r="I159" s="61">
        <v>9834</v>
      </c>
      <c r="J159" s="62"/>
      <c r="K159" s="62"/>
      <c r="L159" s="58"/>
      <c r="M159" s="58"/>
      <c r="N159" s="58"/>
      <c r="O159" s="18"/>
      <c r="P159" s="19"/>
      <c r="Q159" s="18"/>
      <c r="R159" s="18"/>
      <c r="S159" s="18"/>
    </row>
    <row r="160" spans="1:35" ht="26.4" x14ac:dyDescent="0.25">
      <c r="A160" s="94" t="s">
        <v>519</v>
      </c>
      <c r="B160" s="87"/>
      <c r="C160" s="87"/>
      <c r="D160" s="87"/>
      <c r="E160" s="87"/>
      <c r="F160" s="87"/>
      <c r="G160" s="87"/>
      <c r="H160" s="87"/>
      <c r="I160" s="63">
        <v>237369</v>
      </c>
      <c r="J160" s="63">
        <v>21326</v>
      </c>
      <c r="K160" s="63" t="s">
        <v>520</v>
      </c>
      <c r="L160" s="63">
        <v>209567</v>
      </c>
      <c r="M160" s="63"/>
      <c r="N160" s="63" t="s">
        <v>521</v>
      </c>
      <c r="O160" s="18"/>
      <c r="P160" s="19"/>
      <c r="Q160" s="18"/>
      <c r="R160" s="18"/>
      <c r="S160" s="18"/>
    </row>
    <row r="161" spans="1:19" ht="26.4" x14ac:dyDescent="0.25">
      <c r="A161" s="94" t="s">
        <v>522</v>
      </c>
      <c r="B161" s="87"/>
      <c r="C161" s="87"/>
      <c r="D161" s="87"/>
      <c r="E161" s="87"/>
      <c r="F161" s="87"/>
      <c r="G161" s="87"/>
      <c r="H161" s="87"/>
      <c r="I161" s="63">
        <v>240254</v>
      </c>
      <c r="J161" s="63">
        <v>23373</v>
      </c>
      <c r="K161" s="63" t="s">
        <v>523</v>
      </c>
      <c r="L161" s="63">
        <v>209567</v>
      </c>
      <c r="M161" s="63"/>
      <c r="N161" s="63" t="s">
        <v>524</v>
      </c>
      <c r="O161" s="18"/>
      <c r="P161" s="19"/>
      <c r="Q161" s="18"/>
      <c r="R161" s="18"/>
      <c r="S161" s="18"/>
    </row>
    <row r="162" spans="1:19" ht="26.4" x14ac:dyDescent="0.25">
      <c r="A162" s="94" t="s">
        <v>525</v>
      </c>
      <c r="B162" s="87"/>
      <c r="C162" s="87"/>
      <c r="D162" s="87"/>
      <c r="E162" s="87"/>
      <c r="F162" s="87"/>
      <c r="G162" s="87"/>
      <c r="H162" s="87"/>
      <c r="I162" s="63">
        <v>1533143</v>
      </c>
      <c r="J162" s="63">
        <v>371273</v>
      </c>
      <c r="K162" s="63" t="s">
        <v>526</v>
      </c>
      <c r="L162" s="63">
        <v>1089006</v>
      </c>
      <c r="M162" s="63"/>
      <c r="N162" s="63" t="s">
        <v>524</v>
      </c>
      <c r="O162" s="18"/>
      <c r="P162" s="19"/>
      <c r="Q162" s="18"/>
      <c r="R162" s="18"/>
      <c r="S162" s="18"/>
    </row>
    <row r="163" spans="1:19" x14ac:dyDescent="0.25">
      <c r="A163" s="94" t="s">
        <v>129</v>
      </c>
      <c r="B163" s="87"/>
      <c r="C163" s="87"/>
      <c r="D163" s="87"/>
      <c r="E163" s="87"/>
      <c r="F163" s="87"/>
      <c r="G163" s="87"/>
      <c r="H163" s="87"/>
      <c r="I163" s="63">
        <v>327041</v>
      </c>
      <c r="J163" s="63"/>
      <c r="K163" s="63"/>
      <c r="L163" s="63"/>
      <c r="M163" s="63"/>
      <c r="N163" s="63"/>
      <c r="O163" s="18"/>
      <c r="P163" s="19"/>
      <c r="Q163" s="18"/>
      <c r="R163" s="18"/>
      <c r="S163" s="18"/>
    </row>
    <row r="164" spans="1:19" x14ac:dyDescent="0.25">
      <c r="A164" s="94" t="s">
        <v>130</v>
      </c>
      <c r="B164" s="87"/>
      <c r="C164" s="87"/>
      <c r="D164" s="87"/>
      <c r="E164" s="87"/>
      <c r="F164" s="87"/>
      <c r="G164" s="87"/>
      <c r="H164" s="87"/>
      <c r="I164" s="63">
        <v>179264</v>
      </c>
      <c r="J164" s="63"/>
      <c r="K164" s="63"/>
      <c r="L164" s="63"/>
      <c r="M164" s="63"/>
      <c r="N164" s="63"/>
      <c r="O164" s="18"/>
      <c r="P164" s="19"/>
      <c r="Q164" s="18"/>
      <c r="R164" s="18"/>
      <c r="S164" s="18"/>
    </row>
    <row r="165" spans="1:19" x14ac:dyDescent="0.25">
      <c r="A165" s="92" t="s">
        <v>527</v>
      </c>
      <c r="B165" s="93"/>
      <c r="C165" s="93"/>
      <c r="D165" s="93"/>
      <c r="E165" s="93"/>
      <c r="F165" s="93"/>
      <c r="G165" s="93"/>
      <c r="H165" s="93"/>
      <c r="I165" s="64"/>
      <c r="J165" s="64"/>
      <c r="K165" s="64"/>
      <c r="L165" s="64"/>
      <c r="M165" s="64"/>
      <c r="N165" s="64"/>
      <c r="O165" s="18"/>
      <c r="P165" s="19"/>
      <c r="Q165" s="18"/>
      <c r="R165" s="18"/>
      <c r="S165" s="18"/>
    </row>
    <row r="166" spans="1:19" ht="26.4" x14ac:dyDescent="0.25">
      <c r="A166" s="94" t="s">
        <v>528</v>
      </c>
      <c r="B166" s="87"/>
      <c r="C166" s="87"/>
      <c r="D166" s="87"/>
      <c r="E166" s="87"/>
      <c r="F166" s="87"/>
      <c r="G166" s="87"/>
      <c r="H166" s="87"/>
      <c r="I166" s="63">
        <v>1956119</v>
      </c>
      <c r="J166" s="63"/>
      <c r="K166" s="63"/>
      <c r="L166" s="63"/>
      <c r="M166" s="63"/>
      <c r="N166" s="63" t="s">
        <v>529</v>
      </c>
      <c r="O166" s="18"/>
      <c r="P166" s="19"/>
      <c r="Q166" s="18"/>
      <c r="R166" s="18"/>
      <c r="S166" s="18"/>
    </row>
    <row r="167" spans="1:19" ht="26.4" x14ac:dyDescent="0.25">
      <c r="A167" s="94" t="s">
        <v>530</v>
      </c>
      <c r="B167" s="87"/>
      <c r="C167" s="87"/>
      <c r="D167" s="87"/>
      <c r="E167" s="87"/>
      <c r="F167" s="87"/>
      <c r="G167" s="87"/>
      <c r="H167" s="87"/>
      <c r="I167" s="63">
        <v>83329</v>
      </c>
      <c r="J167" s="63"/>
      <c r="K167" s="63"/>
      <c r="L167" s="63"/>
      <c r="M167" s="63"/>
      <c r="N167" s="63" t="s">
        <v>531</v>
      </c>
      <c r="O167" s="18"/>
      <c r="P167" s="19"/>
      <c r="Q167" s="18"/>
      <c r="R167" s="18"/>
      <c r="S167" s="18"/>
    </row>
    <row r="168" spans="1:19" ht="26.4" x14ac:dyDescent="0.25">
      <c r="A168" s="94" t="s">
        <v>532</v>
      </c>
      <c r="B168" s="87"/>
      <c r="C168" s="87"/>
      <c r="D168" s="87"/>
      <c r="E168" s="87"/>
      <c r="F168" s="87"/>
      <c r="G168" s="87"/>
      <c r="H168" s="87"/>
      <c r="I168" s="63">
        <v>2039448</v>
      </c>
      <c r="J168" s="63"/>
      <c r="K168" s="63"/>
      <c r="L168" s="63"/>
      <c r="M168" s="63"/>
      <c r="N168" s="63" t="s">
        <v>524</v>
      </c>
      <c r="O168" s="18"/>
      <c r="P168" s="19"/>
      <c r="Q168" s="18"/>
      <c r="R168" s="18"/>
      <c r="S168" s="18"/>
    </row>
    <row r="169" spans="1:19" x14ac:dyDescent="0.25">
      <c r="A169" s="94" t="s">
        <v>533</v>
      </c>
      <c r="B169" s="87"/>
      <c r="C169" s="87"/>
      <c r="D169" s="87"/>
      <c r="E169" s="87"/>
      <c r="F169" s="87"/>
      <c r="G169" s="87"/>
      <c r="H169" s="87"/>
      <c r="I169" s="63"/>
      <c r="J169" s="63"/>
      <c r="K169" s="63"/>
      <c r="L169" s="63"/>
      <c r="M169" s="63"/>
      <c r="N169" s="63"/>
      <c r="O169" s="18"/>
      <c r="P169" s="19"/>
      <c r="Q169" s="18"/>
      <c r="R169" s="18"/>
      <c r="S169" s="18"/>
    </row>
    <row r="170" spans="1:19" x14ac:dyDescent="0.25">
      <c r="A170" s="94" t="s">
        <v>534</v>
      </c>
      <c r="B170" s="87"/>
      <c r="C170" s="87"/>
      <c r="D170" s="87"/>
      <c r="E170" s="87"/>
      <c r="F170" s="87"/>
      <c r="G170" s="87"/>
      <c r="H170" s="87"/>
      <c r="I170" s="63">
        <v>1089006</v>
      </c>
      <c r="J170" s="63"/>
      <c r="K170" s="63"/>
      <c r="L170" s="63"/>
      <c r="M170" s="63"/>
      <c r="N170" s="63"/>
      <c r="O170" s="18"/>
      <c r="P170" s="19"/>
      <c r="Q170" s="18"/>
      <c r="R170" s="18"/>
      <c r="S170" s="18"/>
    </row>
    <row r="171" spans="1:19" x14ac:dyDescent="0.25">
      <c r="A171" s="94" t="s">
        <v>535</v>
      </c>
      <c r="B171" s="87"/>
      <c r="C171" s="87"/>
      <c r="D171" s="87"/>
      <c r="E171" s="87"/>
      <c r="F171" s="87"/>
      <c r="G171" s="87"/>
      <c r="H171" s="87"/>
      <c r="I171" s="63">
        <v>72863</v>
      </c>
      <c r="J171" s="63"/>
      <c r="K171" s="63"/>
      <c r="L171" s="63"/>
      <c r="M171" s="63"/>
      <c r="N171" s="63"/>
      <c r="O171" s="18"/>
      <c r="P171" s="19"/>
      <c r="Q171" s="18"/>
      <c r="R171" s="18"/>
      <c r="S171" s="18"/>
    </row>
    <row r="172" spans="1:19" x14ac:dyDescent="0.25">
      <c r="A172" s="94" t="s">
        <v>536</v>
      </c>
      <c r="B172" s="87"/>
      <c r="C172" s="87"/>
      <c r="D172" s="87"/>
      <c r="E172" s="87"/>
      <c r="F172" s="87"/>
      <c r="G172" s="87"/>
      <c r="H172" s="87"/>
      <c r="I172" s="63">
        <v>382721</v>
      </c>
      <c r="J172" s="63"/>
      <c r="K172" s="63"/>
      <c r="L172" s="63"/>
      <c r="M172" s="63"/>
      <c r="N172" s="63"/>
      <c r="O172" s="18"/>
      <c r="P172" s="19"/>
      <c r="Q172" s="18"/>
      <c r="R172" s="18"/>
      <c r="S172" s="18"/>
    </row>
    <row r="173" spans="1:19" x14ac:dyDescent="0.25">
      <c r="A173" s="94" t="s">
        <v>537</v>
      </c>
      <c r="B173" s="87"/>
      <c r="C173" s="87"/>
      <c r="D173" s="87"/>
      <c r="E173" s="87"/>
      <c r="F173" s="87"/>
      <c r="G173" s="87"/>
      <c r="H173" s="87"/>
      <c r="I173" s="63">
        <v>327041</v>
      </c>
      <c r="J173" s="63"/>
      <c r="K173" s="63"/>
      <c r="L173" s="63"/>
      <c r="M173" s="63"/>
      <c r="N173" s="63"/>
      <c r="O173" s="18"/>
      <c r="P173" s="19"/>
      <c r="Q173" s="18"/>
      <c r="R173" s="18"/>
      <c r="S173" s="18"/>
    </row>
    <row r="174" spans="1:19" x14ac:dyDescent="0.25">
      <c r="A174" s="94" t="s">
        <v>538</v>
      </c>
      <c r="B174" s="87"/>
      <c r="C174" s="87"/>
      <c r="D174" s="87"/>
      <c r="E174" s="87"/>
      <c r="F174" s="87"/>
      <c r="G174" s="87"/>
      <c r="H174" s="87"/>
      <c r="I174" s="63">
        <v>179264</v>
      </c>
      <c r="J174" s="63"/>
      <c r="K174" s="63"/>
      <c r="L174" s="63"/>
      <c r="M174" s="63"/>
      <c r="N174" s="63"/>
      <c r="O174" s="18"/>
      <c r="P174" s="19"/>
      <c r="Q174" s="18"/>
      <c r="R174" s="18"/>
      <c r="S174" s="18"/>
    </row>
    <row r="175" spans="1:19" ht="26.4" x14ac:dyDescent="0.25">
      <c r="A175" s="92" t="s">
        <v>539</v>
      </c>
      <c r="B175" s="93"/>
      <c r="C175" s="93"/>
      <c r="D175" s="93"/>
      <c r="E175" s="93"/>
      <c r="F175" s="93"/>
      <c r="G175" s="93"/>
      <c r="H175" s="93"/>
      <c r="I175" s="64">
        <v>2039448</v>
      </c>
      <c r="J175" s="64"/>
      <c r="K175" s="64"/>
      <c r="L175" s="64"/>
      <c r="M175" s="64"/>
      <c r="N175" s="64" t="s">
        <v>524</v>
      </c>
      <c r="O175" s="18"/>
      <c r="P175" s="19"/>
      <c r="Q175" s="18"/>
      <c r="R175" s="18"/>
      <c r="S175" s="18"/>
    </row>
    <row r="176" spans="1:19" x14ac:dyDescent="0.25">
      <c r="A176" s="17"/>
      <c r="B176" s="39"/>
      <c r="C176" s="39"/>
      <c r="D176" s="17"/>
      <c r="E176" s="36"/>
      <c r="F176" s="36"/>
      <c r="G176" s="36"/>
      <c r="H176" s="36"/>
      <c r="I176" s="40"/>
      <c r="J176" s="36"/>
      <c r="K176" s="36"/>
      <c r="L176" s="36"/>
      <c r="M176" s="36"/>
      <c r="O176" s="5"/>
      <c r="P176" s="5"/>
      <c r="Q176" s="5"/>
      <c r="R176" s="5"/>
      <c r="S176" s="5"/>
    </row>
    <row r="177" spans="1:13" x14ac:dyDescent="0.25">
      <c r="A177" s="17"/>
      <c r="B177" s="39"/>
      <c r="C177" s="39"/>
      <c r="D177" s="17"/>
      <c r="E177" s="36"/>
      <c r="F177" s="36"/>
      <c r="G177" s="36"/>
      <c r="H177" s="36"/>
      <c r="I177" s="40"/>
      <c r="J177" s="36"/>
      <c r="K177" s="36"/>
      <c r="L177" s="36"/>
      <c r="M177" s="36"/>
    </row>
    <row r="178" spans="1:13" x14ac:dyDescent="0.25">
      <c r="A178" s="17"/>
      <c r="B178" s="39"/>
      <c r="C178" s="41" t="s">
        <v>542</v>
      </c>
      <c r="D178" s="17"/>
      <c r="E178" s="36"/>
      <c r="F178" s="41" t="s">
        <v>29</v>
      </c>
      <c r="G178" s="41"/>
      <c r="H178" s="41"/>
      <c r="I178" s="36"/>
      <c r="J178" s="36"/>
      <c r="K178" s="36"/>
      <c r="L178" s="36"/>
      <c r="M178" s="36"/>
    </row>
  </sheetData>
  <mergeCells count="73">
    <mergeCell ref="H12:N12"/>
    <mergeCell ref="A171:H171"/>
    <mergeCell ref="A172:H172"/>
    <mergeCell ref="A173:H173"/>
    <mergeCell ref="A174:H174"/>
    <mergeCell ref="A158:H158"/>
    <mergeCell ref="A127:AI127"/>
    <mergeCell ref="A145:H145"/>
    <mergeCell ref="A146:H146"/>
    <mergeCell ref="A147:H147"/>
    <mergeCell ref="A148:H148"/>
    <mergeCell ref="A149:H149"/>
    <mergeCell ref="A150:H150"/>
    <mergeCell ref="A151:H151"/>
    <mergeCell ref="A152:H152"/>
    <mergeCell ref="A153:AI153"/>
    <mergeCell ref="A175:H175"/>
    <mergeCell ref="A170:H170"/>
    <mergeCell ref="A159:H159"/>
    <mergeCell ref="A160:H160"/>
    <mergeCell ref="A161:H161"/>
    <mergeCell ref="A162:H162"/>
    <mergeCell ref="A163:H163"/>
    <mergeCell ref="A164:H164"/>
    <mergeCell ref="A165:H165"/>
    <mergeCell ref="A166:H166"/>
    <mergeCell ref="A167:H167"/>
    <mergeCell ref="A168:H168"/>
    <mergeCell ref="A169:H169"/>
    <mergeCell ref="A157:H157"/>
    <mergeCell ref="A126:H126"/>
    <mergeCell ref="A70:H70"/>
    <mergeCell ref="A71:H71"/>
    <mergeCell ref="A72:H72"/>
    <mergeCell ref="A73:AI73"/>
    <mergeCell ref="A119:H119"/>
    <mergeCell ref="A120:H120"/>
    <mergeCell ref="A121:H121"/>
    <mergeCell ref="A122:H122"/>
    <mergeCell ref="A123:H123"/>
    <mergeCell ref="A124:H124"/>
    <mergeCell ref="A125:H125"/>
    <mergeCell ref="M17:M18"/>
    <mergeCell ref="H15:H18"/>
    <mergeCell ref="I17:I18"/>
    <mergeCell ref="A69:H69"/>
    <mergeCell ref="A20:AI20"/>
    <mergeCell ref="A34:H34"/>
    <mergeCell ref="A35:H35"/>
    <mergeCell ref="A36:H36"/>
    <mergeCell ref="A37:H37"/>
    <mergeCell ref="A38:H38"/>
    <mergeCell ref="A39:AI39"/>
    <mergeCell ref="A65:H65"/>
    <mergeCell ref="A66:H66"/>
    <mergeCell ref="A67:H67"/>
    <mergeCell ref="A68:H68"/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2016-07-22T04:06:50Z</cp:lastPrinted>
  <dcterms:created xsi:type="dcterms:W3CDTF">2003-01-28T12:33:10Z</dcterms:created>
  <dcterms:modified xsi:type="dcterms:W3CDTF">2016-07-25T06:54:47Z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