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ИНЖ СИС\Конкурс 28.04.2016\Томск, Мира, 5\"/>
    </mc:Choice>
  </mc:AlternateContent>
  <bookViews>
    <workbookView xWindow="0" yWindow="0" windowWidth="23040" windowHeight="9408"/>
  </bookViews>
  <sheets>
    <sheet name="Лок.См.Расч.Баз.-Инд.Методом" sheetId="5" r:id="rId1"/>
    <sheet name="Переменные и константы" sheetId="1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'Лок.См.Расч.Баз.-Инд.Методом'!$18:$21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calcId="152511"/>
</workbook>
</file>

<file path=xl/calcChain.xml><?xml version="1.0" encoding="utf-8"?>
<calcChain xmlns="http://schemas.openxmlformats.org/spreadsheetml/2006/main">
  <c r="L291" i="5" l="1"/>
  <c r="L292" i="5"/>
  <c r="L293" i="5"/>
  <c r="L294" i="5"/>
  <c r="L127" i="5"/>
  <c r="L128" i="5"/>
  <c r="L129" i="5"/>
  <c r="L130" i="5"/>
  <c r="L131" i="5"/>
  <c r="L132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6" i="5"/>
  <c r="L187" i="5"/>
  <c r="L188" i="5"/>
  <c r="L189" i="5"/>
  <c r="L190" i="5"/>
  <c r="L191" i="5"/>
  <c r="L193" i="5"/>
  <c r="L194" i="5"/>
  <c r="L195" i="5"/>
  <c r="L196" i="5"/>
  <c r="L197" i="5"/>
  <c r="L198" i="5"/>
  <c r="L199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5" i="5"/>
  <c r="L226" i="5"/>
  <c r="L227" i="5"/>
  <c r="L228" i="5"/>
  <c r="L229" i="5"/>
  <c r="L231" i="5"/>
  <c r="L232" i="5"/>
  <c r="L233" i="5"/>
  <c r="L234" i="5"/>
  <c r="L235" i="5"/>
  <c r="L236" i="5"/>
  <c r="L237" i="5"/>
  <c r="L238" i="5"/>
  <c r="L239" i="5"/>
  <c r="L240" i="5"/>
  <c r="L241" i="5"/>
  <c r="L243" i="5"/>
  <c r="L244" i="5"/>
  <c r="L245" i="5"/>
  <c r="L246" i="5"/>
  <c r="L247" i="5"/>
  <c r="L248" i="5"/>
  <c r="L249" i="5"/>
  <c r="L251" i="5"/>
  <c r="L252" i="5"/>
  <c r="L253" i="5"/>
  <c r="L25" i="5"/>
  <c r="L26" i="5"/>
  <c r="L27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3" i="5"/>
  <c r="L64" i="5"/>
  <c r="L65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1" i="5"/>
  <c r="L82" i="5"/>
  <c r="L83" i="5"/>
  <c r="L84" i="5"/>
  <c r="L85" i="5"/>
  <c r="L86" i="5"/>
  <c r="L87" i="5"/>
  <c r="L88" i="5"/>
  <c r="L89" i="5"/>
</calcChain>
</file>

<file path=xl/comments1.xml><?xml version="1.0" encoding="utf-8"?>
<comments xmlns="http://schemas.openxmlformats.org/spreadsheetml/2006/main">
  <authors>
    <author>&lt;&gt;</author>
    <author>Proba</author>
    <author>wall</author>
    <author>Rus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F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22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2" authorId="0" shapeId="0">
      <text>
        <r>
          <rPr>
            <sz val="8"/>
            <color indexed="81"/>
            <rFont val="Tahoma"/>
            <family val="2"/>
            <charset val="204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22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2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2" authorId="3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2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2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31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31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31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31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31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31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3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33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<sst xmlns="http://schemas.openxmlformats.org/spreadsheetml/2006/main" count="1420" uniqueCount="1105">
  <si>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</si>
  <si>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</si>
  <si>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</si>
  <si>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</si>
  <si>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</si>
  <si>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</si>
  <si>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</si>
  <si>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</si>
  <si>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</si>
  <si>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</si>
  <si>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</si>
  <si>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</si>
  <si>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</si>
  <si>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</si>
  <si>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</si>
  <si>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</si>
  <si>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</si>
  <si>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</si>
  <si>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</si>
  <si>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</si>
  <si>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</si>
  <si>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</si>
  <si>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</si>
  <si>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</si>
  <si>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</si>
  <si>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</si>
  <si>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</si>
  <si>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</si>
  <si>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</si>
  <si>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</si>
  <si>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</si>
  <si>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</si>
  <si>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</si>
  <si>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</si>
  <si>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</si>
  <si>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</si>
  <si>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</si>
  <si>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</si>
  <si>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</si>
  <si>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</si>
  <si>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</si>
  <si>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</si>
  <si>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</si>
  <si>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</si>
  <si>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</si>
  <si>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</si>
  <si>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</si>
  <si>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</si>
  <si>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</si>
  <si>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</si>
  <si>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</si>
  <si>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</si>
  <si>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</si>
  <si>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</si>
  <si>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</si>
  <si>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</si>
  <si>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</si>
  <si>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</si>
  <si>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</si>
  <si>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</si>
  <si>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</si>
  <si>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</si>
  <si>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</si>
  <si>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</si>
  <si>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</si>
  <si>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</si>
  <si>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</si>
  <si>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</si>
  <si>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</si>
  <si>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</si>
  <si>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</si>
  <si>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</si>
  <si>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</si>
  <si>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</si>
  <si>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</si>
  <si>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</si>
  <si>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</si>
  <si>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</si>
  <si>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</si>
  <si>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</si>
  <si>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</si>
  <si>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</si>
  <si>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</si>
  <si>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</si>
  <si>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</si>
  <si>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</si>
  <si>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</si>
  <si>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</si>
  <si>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</si>
  <si>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</si>
  <si>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</si>
  <si>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</si>
  <si>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</si>
  <si>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</si>
  <si>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</si>
  <si>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</si>
  <si>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</si>
  <si>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</si>
  <si>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</si>
  <si>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</si>
  <si>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</si>
  <si>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</si>
  <si>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</si>
  <si>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</si>
  <si>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</si>
  <si>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</si>
  <si>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</si>
  <si>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</si>
  <si>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</si>
  <si>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</si>
  <si>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</si>
  <si>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</si>
  <si>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</si>
  <si>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</si>
  <si>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</si>
  <si>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</si>
  <si>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</si>
  <si>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</si>
  <si>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</si>
  <si>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</si>
  <si>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</si>
  <si>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</si>
  <si>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</si>
  <si>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</si>
  <si>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</si>
  <si>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</si>
  <si>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</si>
  <si>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</si>
  <si>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</si>
  <si>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</si>
  <si>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</si>
  <si>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</si>
  <si>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</si>
  <si>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</si>
  <si>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</si>
  <si>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</si>
  <si>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</si>
  <si>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</si>
  <si>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</si>
  <si>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</si>
  <si>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</si>
  <si>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</si>
  <si>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</si>
  <si>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</si>
  <si>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</si>
  <si>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</si>
  <si>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</si>
  <si>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</si>
  <si>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</si>
  <si>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</si>
  <si>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</si>
  <si>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</si>
  <si>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</si>
  <si>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</si>
  <si>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</si>
  <si>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</si>
  <si>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</si>
  <si>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</si>
  <si>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</si>
  <si>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</si>
  <si>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</si>
  <si>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</si>
  <si>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</si>
  <si>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</si>
  <si>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</si>
  <si>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</si>
  <si>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</si>
  <si>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</si>
  <si>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</si>
  <si>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</si>
  <si>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</si>
  <si>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</si>
  <si>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</si>
  <si>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</si>
  <si>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</si>
  <si>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</si>
  <si>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</si>
  <si>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</si>
  <si>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</si>
  <si>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</si>
  <si>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</si>
  <si>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</si>
  <si>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</si>
  <si>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</si>
  <si>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</si>
  <si>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</si>
  <si>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</si>
  <si>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</si>
  <si>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</si>
  <si>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</si>
  <si>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</si>
  <si>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</si>
  <si>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</si>
  <si>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</si>
  <si>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</si>
  <si>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</si>
  <si>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</si>
  <si>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</si>
  <si>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</si>
  <si>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</si>
  <si>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</si>
  <si>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</si>
  <si>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</si>
  <si>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</si>
  <si>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</si>
  <si>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</si>
  <si>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</si>
  <si>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</si>
  <si>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</si>
  <si>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</si>
  <si>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</si>
  <si>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</si>
  <si>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</si>
  <si>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</si>
  <si>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</si>
  <si>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</si>
  <si>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</si>
  <si>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</si>
  <si>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</si>
  <si>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</si>
  <si>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</si>
  <si>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</si>
  <si>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</si>
  <si>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</si>
  <si>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</si>
  <si>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</si>
  <si>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</si>
  <si>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</si>
  <si>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</si>
  <si>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</si>
  <si>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</si>
  <si>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</si>
  <si>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</si>
  <si>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</si>
  <si>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</si>
  <si>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</si>
  <si>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</si>
  <si>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</si>
  <si>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</si>
  <si>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</si>
  <si>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</si>
  <si>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</si>
  <si>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</si>
  <si>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</si>
  <si>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</si>
  <si>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</si>
  <si>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</si>
  <si>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</si>
  <si>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</si>
  <si>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</si>
  <si>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</si>
  <si>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</si>
  <si>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</si>
  <si>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</si>
  <si>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</si>
  <si>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</si>
  <si>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</si>
  <si>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</si>
  <si>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</si>
  <si>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</si>
  <si>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</si>
  <si>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</si>
  <si>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</si>
  <si>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</si>
  <si>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</si>
  <si>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</si>
  <si>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</si>
  <si>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</si>
  <si>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</si>
  <si>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</si>
  <si>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</si>
  <si>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</si>
  <si>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</si>
  <si>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</si>
  <si>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</si>
  <si>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</si>
  <si>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</si>
  <si>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</si>
  <si>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</si>
  <si>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</si>
  <si>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</si>
  <si>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</si>
  <si>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</si>
  <si>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</si>
  <si>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</si>
  <si>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</si>
  <si>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</si>
  <si>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</si>
  <si>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</si>
  <si>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</si>
  <si>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</si>
  <si>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</si>
  <si>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</si>
  <si>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</si>
  <si>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</si>
  <si>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</si>
  <si>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</si>
  <si>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</si>
  <si>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</si>
  <si>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</si>
  <si>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</si>
  <si>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</si>
  <si>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</si>
  <si>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</si>
  <si>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</si>
  <si>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</si>
  <si>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</si>
  <si>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</si>
  <si>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</si>
  <si>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</si>
  <si>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</si>
  <si>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</si>
  <si>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</si>
  <si>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</si>
  <si>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</si>
  <si>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  <charset val="204"/>
      </rPr>
      <t>(в текущем уровне цен)</t>
    </r>
  </si>
  <si>
    <t>Проверил:____________________________</t>
  </si>
  <si>
    <t xml:space="preserve">                           Раздел 1. Отопление</t>
  </si>
  <si>
    <t xml:space="preserve">                                   Демонтажные работы</t>
  </si>
  <si>
    <t>ФЕРр65-19-1
--------------------
Приказ Минстроя РФ от 30.01.14 №31/пр</t>
  </si>
  <si>
    <t xml:space="preserve">Демонтаж: радиаторов весом до 80 кг, 100 шт.
НР 63%=74%*0.85 от ФОТ
СП 40%=50%*0.8 от ФОТ
 </t>
  </si>
  <si>
    <t>935,72
865,7</t>
  </si>
  <si>
    <t>70,02
30,24</t>
  </si>
  <si>
    <t xml:space="preserve">90.94 Демонтаж нагревательных приборов: ОЗП=16,9; ЭМ=7,38; ЗПМ=16,9
 </t>
  </si>
  <si>
    <t>2646
2617</t>
  </si>
  <si>
    <t>110
2,24</t>
  </si>
  <si>
    <t>563,2
11,47</t>
  </si>
  <si>
    <t>ФЕРр65-14-4
--------------------
Приказ Минстроя РФ от 30.01.14 №31/пр</t>
  </si>
  <si>
    <t xml:space="preserve">Разборка трубопроводов из водогазопроводных труб в зданиях и сооружениях: на сварке диаметром до 100 мм, 100 м трубопровода
НР 63%=74%*0.85 от ФОТ
СП 40%=50%*0.8 от ФОТ
 </t>
  </si>
  <si>
    <t>603,66
557,01</t>
  </si>
  <si>
    <t xml:space="preserve">90.67 Разборка трубопроводов из водогазопроводных труб в зданиях и сооружениях: на сварке диаметром до 100 мм: ОЗП=16,9; ЭМ=17,77; ЗПМ=16,9; МАТ=4,78
 </t>
  </si>
  <si>
    <t>ФЕРр65-14-3
--------------------
Приказ Минстроя РФ от 30.01.14 №31/пр</t>
  </si>
  <si>
    <t xml:space="preserve">Разборка трубопроводов из водогазопроводных труб в зданиях и сооружениях: на сварке диаметром до 50 мм, 100 м трубопровода
НР 63%=74%*0.85 от ФОТ
СП 40%=50%*0.8 от ФОТ
 </t>
  </si>
  <si>
    <t>391,01
371,91</t>
  </si>
  <si>
    <t xml:space="preserve">90.66 Разборка трубопроводов из водогазопроводных труб в зданиях и сооружениях: на сварке диаметром до 50 мм: ОЗП=16,9; ЭМ=17,77; ЗПМ=16,9; МАТ=4,79
 </t>
  </si>
  <si>
    <t xml:space="preserve">                                   Сантехнические работы системы отопления</t>
  </si>
  <si>
    <t>ФЕР16-02-005-05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</si>
  <si>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100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</si>
  <si>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9153,14
895,11</t>
  </si>
  <si>
    <t>248,09
6,25</t>
  </si>
  <si>
    <t xml:space="preserve">16.65 Прокладка трубопроводов отопления и водоснабжения из стальных электросварных труб диаметром: 100 мм: ОЗП=16,9; ЭМ=13,06; ЗПМ=16,9; МАТ=5,11
 </t>
  </si>
  <si>
    <t>4212
137</t>
  </si>
  <si>
    <t>91,71
0,46</t>
  </si>
  <si>
    <t>119,22
0,6</t>
  </si>
  <si>
    <t>ФЕР16-02-005-04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</si>
  <si>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80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</si>
  <si>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7383,45
895,11</t>
  </si>
  <si>
    <t xml:space="preserve">16.64 Прокладка трубопроводов отопления и водоснабжения из стальных электросварных труб диаметром: 80 мм: ОЗП=16,9; ЭМ=13,06; ЗПМ=16,9; МАТ=5,08
 </t>
  </si>
  <si>
    <t>3577
117</t>
  </si>
  <si>
    <t>101,25
0,51</t>
  </si>
  <si>
    <t>ФЕР16-02-005-03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</si>
  <si>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65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</si>
  <si>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6337,99
809,92</t>
  </si>
  <si>
    <t>174,86
3,89</t>
  </si>
  <si>
    <t xml:space="preserve">16.63 Прокладка трубопроводов отопления и водоснабжения из стальных электросварных труб диаметром: 65 мм: ОЗП=16,9; ЭМ=13,06; ЗПМ=16,9; МАТ=5,06
 </t>
  </si>
  <si>
    <t>3174
91</t>
  </si>
  <si>
    <t>82,98
0,29</t>
  </si>
  <si>
    <t>115,34
0,4</t>
  </si>
  <si>
    <t>ФЕР16-02-005-02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</si>
  <si>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</si>
  <si>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4984,71
682,76</t>
  </si>
  <si>
    <t>145,21
3,21</t>
  </si>
  <si>
    <t xml:space="preserve">16.62 Прокладка трубопроводов отопления и водоснабжения из стальных электросварных труб диаметром: 50 мм: ОЗП=16,9; ЭМ=12,92; ЗПМ=16,9; МАТ=4,83
 </t>
  </si>
  <si>
    <t>2214
64</t>
  </si>
  <si>
    <t>69,95
0,24</t>
  </si>
  <si>
    <t>82,54
0,28</t>
  </si>
  <si>
    <t>ФЕР16-02-001-05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</si>
  <si>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40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</si>
  <si>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3278,55
364,75</t>
  </si>
  <si>
    <t>58,3
2,54</t>
  </si>
  <si>
    <t xml:space="preserve">16.30 Прокладка трубопроводов отопления из стальных водогазопроводных неоцинкованных труб диаметром: 40 мм: ОЗП=16,9; ЭМ=11,88; ЗПМ=16,9; МАТ=6,54
 </t>
  </si>
  <si>
    <t>533
33</t>
  </si>
  <si>
    <t>37,92
0,19</t>
  </si>
  <si>
    <t>29,2
0,15</t>
  </si>
  <si>
    <t>ФЕР16-02-001-04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</si>
  <si>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32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</si>
  <si>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3513,01
364,75</t>
  </si>
  <si>
    <t xml:space="preserve">16.29 Прокладка трубопроводов отопления из стальных водогазопроводных неоцинкованных труб диаметром: 32 мм: ОЗП=16,9; ЭМ=11,88; ЗПМ=16,9; МАТ=5,18
 </t>
  </si>
  <si>
    <t>3470
215</t>
  </si>
  <si>
    <t>189,98
0,95</t>
  </si>
  <si>
    <t>ФЕР16-02-001-03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</si>
  <si>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25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</si>
  <si>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3001,93
364,75</t>
  </si>
  <si>
    <t xml:space="preserve">16.28 Прокладка трубопроводов отопления из стальных водогазопроводных неоцинкованных труб диаметром: 25 мм: ОЗП=16,9; ЭМ=11,88; ЗПМ=16,9; МАТ=5,47
 </t>
  </si>
  <si>
    <t>665
41</t>
  </si>
  <si>
    <t>36,4
0,18</t>
  </si>
  <si>
    <t>ФЕР16-02-001-02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</si>
  <si>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20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</si>
  <si>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2789,32
364,75</t>
  </si>
  <si>
    <t xml:space="preserve">16.27 Прокладка трубопроводов отопления из стальных водогазопроводных неоцинкованных труб диаметром: 20 мм: ОЗП=16,9; ЭМ=11,88; ЗПМ=16,9; МАТ=4,99
 </t>
  </si>
  <si>
    <t>31860
1972</t>
  </si>
  <si>
    <t>1744,32
8,74</t>
  </si>
  <si>
    <t>ФЕР16-02-001-01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</si>
  <si>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15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</si>
  <si>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2411,86
364,75</t>
  </si>
  <si>
    <t xml:space="preserve">16.26 Прокладка трубопроводов отопления из стальных водогазопроводных неоцинкованных труб диаметром: 15 мм: ОЗП=16,9; ЭМ=11,88; ЗПМ=16,9; МАТ=5,14
 </t>
  </si>
  <si>
    <t>2410
149</t>
  </si>
  <si>
    <t>131,96
0,66</t>
  </si>
  <si>
    <t>ФЕР16-07-005-02
--------------------
Приказ Минстроя РФ от 30.01.14 №31/пр</t>
  </si>
  <si>
    <t xml:space="preserve">Гидравлическое испытание трубопроводов систем отопления, водопровода и горячего водоснабжения диаметром: до 100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</si>
  <si>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133,82
67,07</t>
  </si>
  <si>
    <t xml:space="preserve">16.198 Гидравлическое испытание трубопроводов систем отопления, водопровода и горячего водоснабжения диаметром: до 100 мм: ОЗП=16,9; ЭМ=0,72; ЗПМ=16,9; МАТ=9,91
 </t>
  </si>
  <si>
    <t>ФЕР16-07-005-01
--------------------
Приказ Минстроя РФ от 30.01.14 №31/пр</t>
  </si>
  <si>
    <t xml:space="preserve">Гидравлическое испытание трубопроводов систем отопления, водопровода и горячего водоснабжения диаметром: до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</si>
  <si>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126,99
67,07</t>
  </si>
  <si>
    <t xml:space="preserve">16.197 Гидравлическое испытание трубопроводов систем отопления, водопровода и горячего водоснабжения диаметром: до 50 мм: ОЗП=16,9; ЭМ=0,72; ЗПМ=16,9; МАТ=7,41
 </t>
  </si>
  <si>
    <t>ФССЦ-301-1224
--------------------
Приказ Минстроя России от 12.11.14 №703/пр</t>
  </si>
  <si>
    <t xml:space="preserve">Крепления для трубопроводов: кронштейны, планки, хомуты, кг
 </t>
  </si>
  <si>
    <t xml:space="preserve">Крепления для трубопроводов: кронштейны, планки, хомуты; МАТ=3,283
 </t>
  </si>
  <si>
    <t>Каталог ТСЦ 3/2015 302-9230-90039</t>
  </si>
  <si>
    <t xml:space="preserve">Кран шаровой Itap для воды, пара, углеводородов и т.д., стандартный проход, никелированный, ВР-ВР, размер 1 (245,76/5,56=44,20), шт
 </t>
  </si>
  <si>
    <t xml:space="preserve">Индекс на материалы ФЕР-2001 3/2015; МАТ=5,56
 </t>
  </si>
  <si>
    <t>Каталог ТСЦ 3/2015 302-9230-90038</t>
  </si>
  <si>
    <t xml:space="preserve">Кран шаровой Itap для воды, пара, углеводородов и т.д., стандартный проход, никелированный, ВР-ВР, размер 3/4 (167,04/5,56=30,04), шт
 </t>
  </si>
  <si>
    <t>Каталог ТСЦ 3/2015 302-9230-90037</t>
  </si>
  <si>
    <t xml:space="preserve">Кран шаровой Itap для воды, пара, углеводородов и т.д., стандартный проход, никелированный, ВР-ВР, размер 1/2  (110,82/5,56=19,93), шт
 </t>
  </si>
  <si>
    <t>Счет ООО "ТК Компакт" №С14 от 04.09.15</t>
  </si>
  <si>
    <t xml:space="preserve">Компенсатор сильфонный осевой КСОсо 20-16-50 для систем отополения, под приварку, Ду=20мм, Тмакс=100гр.С, Ру=16 бар   (2561,00/1,18/5,56=390,35), шт
 </t>
  </si>
  <si>
    <t>Прайс "Теплоком"</t>
  </si>
  <si>
    <t xml:space="preserve">Клапан балансировочный ручной VALTEC VT.054, муфтовый, Тмакс=120гр.С, Ру=40бар, Ду20 (1337,00/1,18/5,56=203,79), шт
 </t>
  </si>
  <si>
    <t>Прайс "Водяной"</t>
  </si>
  <si>
    <t xml:space="preserve">Дисковый поворотный затвор REON тип RSV 38,  Тмакс=120гр.С, Ру=16бар, Ду=80мм (2138,00/1,18/5,56=325,87), шт
 </t>
  </si>
  <si>
    <t xml:space="preserve">Дисковый поворотный затвор REON тип RSV 38,  Тмакс=120гр.С, Ру=16бар, Ду=65мм (1784,00/1,18/5,56=271,92), шт
 </t>
  </si>
  <si>
    <t>ФЕР18-03-001-03
--------------------
Приказ Минстроя РФ от 30.01.14 №31/пр</t>
  </si>
  <si>
    <t xml:space="preserve">Установка конвекторов, 100 кВт радиаторов и конвекторов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</si>
  <si>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21019,29
1026,05</t>
  </si>
  <si>
    <t>248,95
18,42</t>
  </si>
  <si>
    <t xml:space="preserve">18.11. Установка конвекторов: ОЗП=16,9; ЭМ=11,06; ЗПМ=16,9; МАТ=2,68
 </t>
  </si>
  <si>
    <t>1374
155</t>
  </si>
  <si>
    <t>111,06
1,33</t>
  </si>
  <si>
    <t>55,44
0,66</t>
  </si>
  <si>
    <t>ФССЦ-301-0420
--------------------
Приказ Минстроя России от 12.11.14 №703/пр</t>
  </si>
  <si>
    <t xml:space="preserve">Конвекторы отопительные типа АККОРД с креплениями без кожуха, кВт
 </t>
  </si>
  <si>
    <t xml:space="preserve">Конвекторы отопительные типа АККОРД с креплениями без кожуха; МАТ=2,673
 </t>
  </si>
  <si>
    <t xml:space="preserve">Конвектор "Комфорт-М2" 1,970кВт (1974,00/1,18/5,56=300,88), шт
 </t>
  </si>
  <si>
    <t xml:space="preserve">Конвектор "Комфорт-М2" 1,150кВт (1155,00/1,18/5,56=176,05), шт
 </t>
  </si>
  <si>
    <t>ФЕР18-03-001-02
--------------------
Приказ Минстроя РФ от 30.01.14 №31/пр</t>
  </si>
  <si>
    <t xml:space="preserve">Установка радиаторов: стальных, 100 кВт радиаторов и конвекторов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</si>
  <si>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18901,16
697</t>
  </si>
  <si>
    <t>299,59
22,25</t>
  </si>
  <si>
    <t xml:space="preserve">18.10. Установка радиаторов стальных: ОЗП=16,9; ЭМ=9,92; ЗПМ=16,9; МАТ=7,52
 </t>
  </si>
  <si>
    <t>21055
2664</t>
  </si>
  <si>
    <t>75,44
1,6</t>
  </si>
  <si>
    <t>534,48
11,34</t>
  </si>
  <si>
    <t>ФССЦ-301-0559
--------------------
Приказ Минстроя России от 12.11.14 №703/пр</t>
  </si>
  <si>
    <t xml:space="preserve">Радиаторы стальные панельные: РСВ2-1, РСВ2-6 однорядные, кВт
 </t>
  </si>
  <si>
    <t xml:space="preserve">Радиаторы стальные панельные РСВ2-1, РСВ2-6 однорядные; МАТ=7,867
 </t>
  </si>
  <si>
    <t>ФССЦ-301-1225
--------------------
Приказ Минстроя России от 12.11.14 №703/пр</t>
  </si>
  <si>
    <t xml:space="preserve">Кронштейны для радиаторов стальных спаренных марки КР1-РС, компл.
 </t>
  </si>
  <si>
    <t xml:space="preserve">Кронштейны для радиаторов стальных спаренных марки КР1-РС; МАТ=2,041
 </t>
  </si>
  <si>
    <t xml:space="preserve">Радиатор Solaris 500/80 180Вт (секция) (540,00/1,18/5,56=82,31), секц.
 </t>
  </si>
  <si>
    <t xml:space="preserve">Набор для подсоединения радиатора 3/4" Altera (с 3мя кронштейнами) с силиконовыми прокладками (295,00/1,18/5,56=44,96), шт
 </t>
  </si>
  <si>
    <t xml:space="preserve">Вентиль регулировочный Itap прямой 3/4", Тмакс=150гр.С, Ру=10бар (391,00/1,18/5,56=59,60), шт
 </t>
  </si>
  <si>
    <t>Каталог 3/2015 302-9230-90049</t>
  </si>
  <si>
    <t xml:space="preserve">Кран шаровой со сгоном (американка) "itap" для воды, пара, углеводородов и т.д., полный проход, никелированный, ВР-НР, размер 3/4 (262,99/5,56=47,30), шт
 </t>
  </si>
  <si>
    <t>ФЕР18-07-001-05
--------------------
Приказ Минстроя РФ от 30.01.14 №31/пр</t>
  </si>
  <si>
    <t xml:space="preserve">Установка кранов воздушных (Воздухоотводчик для конвекторов ручной 3/4"), 1 компл.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</si>
  <si>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27,39
1,46</t>
  </si>
  <si>
    <t xml:space="preserve">18.79 Установка кранов воздушных: ОЗП=16,9; МАТ=2,2
 </t>
  </si>
  <si>
    <t>ФЕР18-06-003-10
--------------------
Приказ Минстроя РФ от 30.01.14 №31/пр</t>
  </si>
  <si>
    <t xml:space="preserve">Установка воздухоотводчиков (Воздухоотводчик автоматический), 1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</si>
  <si>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112,52
18,7</t>
  </si>
  <si>
    <t>10,74
0,35</t>
  </si>
  <si>
    <t xml:space="preserve">18.53 Установка воздухоотводчиков: ОЗП=16,9; ЭМ=11,57; ЗПМ=16,9; МАТ=4,24
 </t>
  </si>
  <si>
    <t>124
6</t>
  </si>
  <si>
    <t>1,91
0,03</t>
  </si>
  <si>
    <t>Прайс "VALTEC"</t>
  </si>
  <si>
    <t xml:space="preserve">Клапан отсекающий VALTEC VT.539.N 1/2" (75,00/1,18/5,56=11,43), шт.
 </t>
  </si>
  <si>
    <t xml:space="preserve">                                   Опоры для трубопроводов</t>
  </si>
  <si>
    <t>ФССЦ-403-1200
--------------------
Приказ Минстроя России от 12.11.14 №703/пр</t>
  </si>
  <si>
    <t xml:space="preserve">Опоры железобетонные (железобетонная опорная подушка ОП-2) (40штх0,0054м3=0,216м3), м3
 </t>
  </si>
  <si>
    <t xml:space="preserve">Опоры железобетонные; МАТ=12,141
 </t>
  </si>
  <si>
    <t>ФССЦ-201-0888
--------------------
Приказ Минстроя России от 12.11.14 №703/пр</t>
  </si>
  <si>
    <t xml:space="preserve">Опоры скользящие и катковые, крепежные детали, хомуты (18штх2,59кг+22штх2,76кг= 107,34кг), т
 </t>
  </si>
  <si>
    <t xml:space="preserve">Опоры скользящие и катковые, крепежные детали, хомуты; МАТ=6,154
 </t>
  </si>
  <si>
    <t>ФССЦ-201-0889
--------------------
Приказ Минстроя России от 12.11.14 №703/пр</t>
  </si>
  <si>
    <t xml:space="preserve">Опоры неподвижные из горячекатаных профилей для трубопроводов (4штх1,86кг+2штх2,13кг=11,7кг), т
 </t>
  </si>
  <si>
    <t xml:space="preserve">Опоры неподвижные из горячекатанных профилей для трубопроводов; МАТ=8,638
 </t>
  </si>
  <si>
    <t xml:space="preserve">                                   Общестроительные работы системы отопления</t>
  </si>
  <si>
    <t>ФЕР13-03-002-04
--------------------
Приказ Минстроя РФ от 30.01.14 №31/пр</t>
  </si>
  <si>
    <t xml:space="preserve">Огрунтовка металлических поверхностей за один раз: грунтовкой ГФ-021,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69%=90%*(0.9*0.85) от ФОТ
СП 48%=70%*(0.85*0.8) от ФОТ
 </t>
  </si>
  <si>
    <t>279,54
65,03</t>
  </si>
  <si>
    <t>11,79
0,13</t>
  </si>
  <si>
    <t xml:space="preserve">13.39. Огрунтовка металлических поверхностей за один раз: грунтовкой ГФ-021: ОЗП=16,9; ЭМ=10,97; ЗПМ=16,9; МАТ=4,27
 </t>
  </si>
  <si>
    <t>730
12</t>
  </si>
  <si>
    <t>6,11
0,01</t>
  </si>
  <si>
    <t>34,48
0,06</t>
  </si>
  <si>
    <t>ФЕР13-03-004-23
--------------------
Приказ Минстроя РФ от 30.01.14 №31/пр</t>
  </si>
  <si>
    <t xml:space="preserve">Окраска металлических огрунтованных поверхностей: краской БТ-177 серебристой,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Количество окрасок 2 ПЗ=2 (ОЗП=2; ЭМ=2 к расх.; ЗПМ=2; МАТ=2 к расх.; ТЗ=2; ТЗМ=2)
НР 69%=90%*(0.9*0.85) от ФОТ
СП 48%=70%*(0.85*0.8) от ФОТ
 </t>
  </si>
  <si>
    <t>492,16
60,08</t>
  </si>
  <si>
    <t>30,53
0,25</t>
  </si>
  <si>
    <t xml:space="preserve">13.97 Окраска металлических огрунтованных поверхностей: краской БТ-177 серебристой: ОЗП=16,9; ЭМ=11,09; ЗПМ=16,9; МАТ=4,59
 </t>
  </si>
  <si>
    <t>587
7</t>
  </si>
  <si>
    <t>6,62
0,03</t>
  </si>
  <si>
    <t>11,48
0,05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</si>
  <si>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</si>
  <si>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Количество окрасок-2 ПЗ=2 (ОЗП=2; ЭМ=2 к расх.; ЗПМ=2; МАТ=2 к расх.; ТЗ=2; ТЗМ=2)
НР 69%=90%*(0.9*0.85) от ФОТ
СП 48%=70%*(0.85*0.8) от ФОТ
 </t>
  </si>
  <si>
    <t>658,01
79,9</t>
  </si>
  <si>
    <t>15,55
0,25</t>
  </si>
  <si>
    <t xml:space="preserve">13.100 Окраска металлических огрунтованных поверхностей: эмалью ПФ-115: ОЗП=16,9; ЭМ=10,78; ЗПМ=16,9; МАТ=4,94
 </t>
  </si>
  <si>
    <t>676
17</t>
  </si>
  <si>
    <t>8,81
0,03</t>
  </si>
  <si>
    <t>35,54
0,12</t>
  </si>
  <si>
    <t>ФЕР26-01-017-01
--------------------
Приказ Минстроя РФ от 30.01.14 №31/пр</t>
  </si>
  <si>
    <t xml:space="preserve">Изоляция трубопроводов диаметром 180 мм изделиями из вспененного каучука ( «Армофлекс»), вспененного полиэтилена ( «Термофлекс»): трубками, 10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77%=100%*(0.9*0.85) от ФОТ
СП 48%=70%*(0.85*0.8) от ФОТ
 </t>
  </si>
  <si>
    <t>2112,73
40,16</t>
  </si>
  <si>
    <t xml:space="preserve">26.26 Изоляция трубопроводов диаметром 180 мм изделиями из вспененного каучука ('Армофлекс'), вспененного полиэтилена ('Термофлекс'): трубками: ОЗП=16,9; ЭМ=11,67; ЗПМ=16,9; МАТ=1,72
 </t>
  </si>
  <si>
    <t>ФССЦ-104-0162
--------------------
Приказ Минстроя России от 12.11.14 №703/пр</t>
  </si>
  <si>
    <t xml:space="preserve">Трубки из вспененного полиэтилена (пенополиэтилен) «Термофлекс» диаметром 108х13 мм, м
 </t>
  </si>
  <si>
    <t xml:space="preserve">Трубки из вспененного полиэтилена (пенополиэтилен) «Термофлекс» диаметром 108x13 мм; МАТ=1,483
 </t>
  </si>
  <si>
    <t>Счет ООО "ТК Компакт" №С13 от 04.09.15</t>
  </si>
  <si>
    <t xml:space="preserve">Трубки K-FLEX Solar HT 32х108 (1802,00/1,18/5,56=274,66), м
 </t>
  </si>
  <si>
    <t>143
65*2*1,1</t>
  </si>
  <si>
    <t xml:space="preserve">Трубки K-FLEX Solar HT 32х89 (1484,00/1,18/5,56=226,19), м
 </t>
  </si>
  <si>
    <t>123,2
56*2*1,1</t>
  </si>
  <si>
    <t xml:space="preserve">Трубки K-FLEX ST 32х76 (863,00/1,18/5,56=131,54), м
 </t>
  </si>
  <si>
    <t>154
70*2*1,1</t>
  </si>
  <si>
    <t>Счет ООО "ТК Компакт" №С12 от 04.09.15</t>
  </si>
  <si>
    <t xml:space="preserve">Трубки K-FLEX ST 25х57 (535,00/1,18/5,56=81,54), м
 </t>
  </si>
  <si>
    <t>129,8
59*2*1,1</t>
  </si>
  <si>
    <t xml:space="preserve">Трубки K-FLEX ST 25х48 (434,00/1,18/5,56=66,15), м
 </t>
  </si>
  <si>
    <t>88
40*2*1,1</t>
  </si>
  <si>
    <t xml:space="preserve">Трубки K-FLEX ST 25х42 (383,00/1,18/5,56=58,38), м
 </t>
  </si>
  <si>
    <t>96,8
44*2*1,1</t>
  </si>
  <si>
    <t xml:space="preserve">Трубки K-FLEX ST 25х35 (325,00/1,18/5,56=49,54), м
 </t>
  </si>
  <si>
    <t>105,6
48*2*1,1</t>
  </si>
  <si>
    <t xml:space="preserve">Трубки K-FLEX ST 19х28 (132,00/1,18/5,56=20,12), м
 </t>
  </si>
  <si>
    <t>116,6
53*2*1,1</t>
  </si>
  <si>
    <t xml:space="preserve">                                   Сопутствующие работы системы отопления</t>
  </si>
  <si>
    <t>ФЕР46-03-001-16
--------------------
Приказ Минстроя РФ от 30.01.14 №31/пр</t>
  </si>
  <si>
    <t xml:space="preserve">Сверление установками алмазного бурения в железобетонных конструкциях вертикальных отверстий глубиной 200 мм диаметром: 160 мм, 100 отверстий
НР 84%=110%*(0.9*0.85) от ФОТ
СП 48%=70%*(0.85*0.8) от ФОТ
 </t>
  </si>
  <si>
    <t>9219,49
303,03</t>
  </si>
  <si>
    <t>1165,77
338,72</t>
  </si>
  <si>
    <t xml:space="preserve">46.44 Сверление кольцевыми алмазными сверлами в железобетонных конструкциях с применением охлаждающей жидкости (воды): ОЗП=16,9; ЭМ=8,44; ЗПМ=16,9; МАТ=1,61
 </t>
  </si>
  <si>
    <t>51950
30225</t>
  </si>
  <si>
    <t>31,5
29,2</t>
  </si>
  <si>
    <t>166,32
154,18</t>
  </si>
  <si>
    <t>ФЕР46-03-001-32
--------------------
Приказ Минстроя РФ от 30.01.14 №31/пр</t>
  </si>
  <si>
    <t xml:space="preserve">На каждые 10 мм изменения глубины сверления добавляется или исключается: к расценке 46-03-001-16, 100 отверстий
КОЭФ. К ПОЗИЦИИ:
Увеличение глубины отверстия на 20мм ПЗ=2 (ОЗП=2; ЭМ=2 к расх.; ЗПМ=2; МАТ=2 к расх.; ТЗ=2; ТЗМ=2)
НР 84%=110%*(0.9*0.85) от ФОТ
СП 48%=70%*(0.85*0.8) от ФОТ
 </t>
  </si>
  <si>
    <t>921,96
44,64</t>
  </si>
  <si>
    <t>102,26
34,34</t>
  </si>
  <si>
    <t>4557
3064</t>
  </si>
  <si>
    <t>4,64
2,96</t>
  </si>
  <si>
    <t>24,5
15,63</t>
  </si>
  <si>
    <t>ФЕРр69-4-3
--------------------
Приказ Минстроя РФ от 30.01.14 №31/пр</t>
  </si>
  <si>
    <t xml:space="preserve">Заделка отверстий в местах прохода трубопроводов: в перекрытиях оштукатуренных, 100 отверстий
НР 66%=78%*0.85 от ФОТ
СП 40%=50%*0.8 от ФОТ
 </t>
  </si>
  <si>
    <t>966,02
517,34</t>
  </si>
  <si>
    <t>2,5
1,08</t>
  </si>
  <si>
    <t xml:space="preserve">94.6 Заделка отверстий в местах прохода трубопроводов: в перекрытиях оштукатуренных: ОЗП=16,9; ЭМ=7,38; ЗПМ=16,9; МАТ=4,51
 </t>
  </si>
  <si>
    <t>97
96</t>
  </si>
  <si>
    <t>60,65
0,08</t>
  </si>
  <si>
    <t>320,23
0,42</t>
  </si>
  <si>
    <t>ФЕРр63-6-2
--------------------
Приказ Минстроя РФ от 30.01.14 №31/пр</t>
  </si>
  <si>
    <t xml:space="preserve">Смена обоев: улучшенных, 100 м2 оклеенной поверхности
НР 65%=77%*0.85 от ФОТ
СП 40%=50%*0.8 от ФОТ
 </t>
  </si>
  <si>
    <t>1632,89
478,34</t>
  </si>
  <si>
    <t>11,84
1,35</t>
  </si>
  <si>
    <t xml:space="preserve">89.8 Смена обоев: улучшенных: ОЗП=16,9; ЭМ=10,64; ЗПМ=16,9; МАТ=6,09
 </t>
  </si>
  <si>
    <t>9
2</t>
  </si>
  <si>
    <t>54,73
0,1</t>
  </si>
  <si>
    <t>3,83
0,01</t>
  </si>
  <si>
    <t xml:space="preserve">Смена обоев: улучшенных (потолочная плитка ПВХ), 100 м2 оклеенной поверхности
НР 65%=77%*0.85 от ФОТ
СП 40%=50%*0.8 от ФОТ
 </t>
  </si>
  <si>
    <t>16
3</t>
  </si>
  <si>
    <t>6,84
0,01</t>
  </si>
  <si>
    <t>ФССЦ-101-1831
--------------------
Приказ Минстроя России от 12.11.14 №703/пр</t>
  </si>
  <si>
    <t xml:space="preserve">Обои улучшенные, грунтованные, 100 м2
 </t>
  </si>
  <si>
    <t xml:space="preserve">Обои улучшенные, грунтованные; МАТ=6,468
 </t>
  </si>
  <si>
    <t>ФССЦ-101-1865
--------------------
Приказ Минстроя России от 12.11.14 №703/пр</t>
  </si>
  <si>
    <t xml:space="preserve">Плитки поливинилхлоридные, м2
 </t>
  </si>
  <si>
    <t xml:space="preserve">Плитки поливинилхлоридные; МАТ=2,958
 </t>
  </si>
  <si>
    <t>ФЕР10-05-001-01
--------------------
Приказ Минстроя РФ от 30.01.14 №31/пр</t>
  </si>
  <si>
    <t xml:space="preserve">Демонтаж перегородок из гипсокартонных листов (ГКЛ) по системе «КНАУФ» с одинарным металлическим каркасом и однослойной обшивкой с обеих сторон (С 111): глухих, 100 м2 перегородок (за вычетом проемов)
КОЭФ. К ПОЗИЦИИ:
Демонтаж (разборка) сборных деревянных конструкций ОЗП=0,8; ЭМ=0,8 к расх.; ЗПМ=0,8; МАТ=0 к расх.; ТЗ=0,8; ТЗМ=0,8
НР 90%=118%*(0.9*0.85) от ФОТ
СП 43%=63%*(0.85*0.8) от ФОТ
 </t>
  </si>
  <si>
    <t>734,1
711,09</t>
  </si>
  <si>
    <t xml:space="preserve">10.206 Устройство перегородок из гипсокартонных листов (ГКЛ) по системе 'КНАУФ' с одинарным металлическим каркасом и однослойной обшивкой с обеих сторон: ОЗП=16,9; ЭМ=3,43; ЗПМ=16,9; МАТ=6,18
 </t>
  </si>
  <si>
    <t xml:space="preserve">Устройство перегородок из гипсокартонных листов (ГКЛ) по системе «КНАУФ» с одинарным металлическим каркасом и однослойной обшивкой с обеих сторон (С 111): глухих, 100 м2 перегородок (за вычетом проемов)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90%=118%*(0.9*0.85) от ФОТ
СП 43%=63%*(0.85*0.8) от ФОТ
 </t>
  </si>
  <si>
    <t>7573,67
1022,19</t>
  </si>
  <si>
    <t>Итого прямые затраты по разделу в текущих ценах</t>
  </si>
  <si>
    <t>172051
41687</t>
  </si>
  <si>
    <t>6799,16
206,45</t>
  </si>
  <si>
    <t>Накладные расходы</t>
  </si>
  <si>
    <t xml:space="preserve">  В том числе, справочно:</t>
  </si>
  <si>
    <t xml:space="preserve">  63% =  74%*0.85 ФОТ (от 332681)  (Поз. 1-3)</t>
  </si>
  <si>
    <t xml:space="preserve">  65% =  77%*0.85 ФОТ (от 1581)  (Поз. 56-57)</t>
  </si>
  <si>
    <t xml:space="preserve">  66% =  78%*0.85 ФОТ (от 46259)  (Поз. 55)</t>
  </si>
  <si>
    <t xml:space="preserve">  69% =  90%*(0.9*0.85) ФОТ (от 13448)  (Поз. 40-42)</t>
  </si>
  <si>
    <t xml:space="preserve">  77% =  100%*(0.9*0.85) ФОТ (от 59044)  (Поз. 43)</t>
  </si>
  <si>
    <t xml:space="preserve">  84% =  110%*(0.9*0.85) ФОТ (от 64312)  (Поз. 53-54)</t>
  </si>
  <si>
    <t xml:space="preserve">  90% =  118%*(0.9*0.85) ФОТ (от 2050)  (Поз. 60-61)</t>
  </si>
  <si>
    <t xml:space="preserve">  98% =  128%*(0.9*0.85) ФОТ (от 583432)  (Поз. 4-14, 23, 27, 34-35)</t>
  </si>
  <si>
    <t>Сметная прибыль</t>
  </si>
  <si>
    <t xml:space="preserve">  40% =  50%*0.8 ФОТ (от 380521)  (Поз. 1-3, 55-57)</t>
  </si>
  <si>
    <t xml:space="preserve">  43% =  63%*(0.85*0.8) ФОТ (от 2050)  (Поз. 60-61)</t>
  </si>
  <si>
    <t xml:space="preserve">  48% =  70%*(0.85*0.8) ФОТ (от 136804)  (Поз. 40-43, 53-54)</t>
  </si>
  <si>
    <t xml:space="preserve">  56% =  83%*(0.85*0.8) ФОТ (от 583432)  (Поз. 4-14, 23, 27, 34-35)</t>
  </si>
  <si>
    <t>Итоги по разделу 1 Отопление :</t>
  </si>
  <si>
    <t xml:space="preserve">  Внутренние санитарно-технические работы: демонтаж и разборка (ремонтно-строительные)</t>
  </si>
  <si>
    <t>2333,18
11,47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</si>
  <si>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</si>
  <si>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3497,03
24,5</t>
  </si>
  <si>
    <t xml:space="preserve">  Материалы для строительных работ</t>
  </si>
  <si>
    <t xml:space="preserve">  Защита строительных конструкций и оборудования от коррозии</t>
  </si>
  <si>
    <t>81,5
0,23</t>
  </si>
  <si>
    <t xml:space="preserve">  Теплоизоляционные работы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</si>
  <si>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</si>
  <si>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190,82
169,81</t>
  </si>
  <si>
    <t xml:space="preserve">  Прочие ремонтно-строительные работы</t>
  </si>
  <si>
    <t xml:space="preserve">  Стекольные, обойные и облицовочные работы (ремонтно-строительные)</t>
  </si>
  <si>
    <t>10,67
0,02</t>
  </si>
  <si>
    <t xml:space="preserve">  Деревянные конструкции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</si>
  <si>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</si>
  <si>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</si>
  <si>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</si>
  <si>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</si>
  <si>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</si>
  <si>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</si>
  <si>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</si>
  <si>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Отопление</t>
  </si>
  <si>
    <t xml:space="preserve">                           Раздел 2. Тепловые узлы ТУ№1, ТУ№2</t>
  </si>
  <si>
    <t xml:space="preserve">                                   Демонтажные работы тепловых узлов</t>
  </si>
  <si>
    <t>ФЕРр65-27-3
--------------------
Приказ Минстроя РФ от 30.01.14 №31/пр</t>
  </si>
  <si>
    <t xml:space="preserve">Демонтаж элеваторных узлов номер: 1, 2, 100 шт.
НР 63%=74%*0.85 от ФОТ
СП 40%=50%*0.8 от ФОТ
 </t>
  </si>
  <si>
    <t>0,02
0,01*2</t>
  </si>
  <si>
    <t>8083,86
8083,86</t>
  </si>
  <si>
    <t xml:space="preserve">90.105 Демонтаж элеваторов и элеваторных узлов: ОЗП=16,9
 </t>
  </si>
  <si>
    <t>ФЕРр65-13-2
--------------------
Приказ Минстроя РФ от 30.01.14 №31/пр</t>
  </si>
  <si>
    <t xml:space="preserve">Демонтаж: грязевиков, 100 шт.
НР 63%=74%*0.85 от ФОТ
СП 40%=50%*0.8 от ФОТ
 </t>
  </si>
  <si>
    <t>0,04
0,02*2</t>
  </si>
  <si>
    <t>1356,27
1356,27</t>
  </si>
  <si>
    <t xml:space="preserve">90.63 Демонтаж воздухосборников и грязевиков: ОЗП=16,9
 </t>
  </si>
  <si>
    <t>0,36
0,18*2</t>
  </si>
  <si>
    <t>ФЕР18-05-001-01
--------------------
Приказ Минстроя РФ от 30.01.14 №31/пр</t>
  </si>
  <si>
    <t xml:space="preserve">Демонтаж насосов центробежных с электродвигателем, масса агрегата: до 0,1 т, 1 насос
КОЭФ. К ПОЗИЦИИ:
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
НР 98%=128%*(0.9*0.85) от ФОТ
СП 56%=83%*(0.85*0.8) от ФОТ
 </t>
  </si>
  <si>
    <t>2
1*2</t>
  </si>
  <si>
    <t>57,63
52,66</t>
  </si>
  <si>
    <t>4,97
0,27</t>
  </si>
  <si>
    <t xml:space="preserve">18.29 Установка насосов центробежных с электродвигателем, масса агрегата: до 0,1 т: ОЗП=16,9; ЭМ=9,45; ЗПМ=16,9; МАТ=4,36
 </t>
  </si>
  <si>
    <t>94
9</t>
  </si>
  <si>
    <t>5,67
0,02</t>
  </si>
  <si>
    <t>11,34
0,04</t>
  </si>
  <si>
    <t>ФЕР18-02-001-01</t>
  </si>
  <si>
    <t xml:space="preserve">Демонтаж водоподогревателей скоростных односекционных поверхностью нагрева одной секции: до 4 м2, 1 водоподогреватель
КОЭФ. К ПОЗИЦИИ:
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
НР 98%=128%*(0.9*0.85) от ФОТ
СП 56%=83%*(0.85*0.8) от ФОТ
 </t>
  </si>
  <si>
    <t>58,49
35,62</t>
  </si>
  <si>
    <t>22,87
2,03</t>
  </si>
  <si>
    <t xml:space="preserve">18.6. Установка водоподогревателей скоростных односекционных: ОЗП=16,9; ЭМ=9,83; ЗПМ=16,9; МАТ=2,35
 </t>
  </si>
  <si>
    <t>450
69</t>
  </si>
  <si>
    <t>3,7
0,19</t>
  </si>
  <si>
    <t>7,4
0,38</t>
  </si>
  <si>
    <t>ФЕРм11-02-001-01
--------------------
Приказ Минстроя РФ от 30.01.14 №31/пр</t>
  </si>
  <si>
    <t xml:space="preserve">Демонтаж: прибор, устанавливаемый на резьбовых соединениях, масса: до 1,5 кг (регулирующий клапан Ду32), 1 шт.
КОЭФ. К ПОЗИЦИИ:
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
НР 68%=80%*0.85 от ФОТ
СП 48%=60%*0.8 от ФОТ
 </t>
  </si>
  <si>
    <t>3,07
3,07</t>
  </si>
  <si>
    <t xml:space="preserve">58.3 Приборы, устанавливаемые на резьбовых соединениях: ОЗП=16,9; МАТ=4,55
 </t>
  </si>
  <si>
    <t xml:space="preserve">                                   Сантехнические работы тепловых узлов ТУ№1, ТУ№2</t>
  </si>
  <si>
    <t>0,24
0,12*2</t>
  </si>
  <si>
    <t>778
25</t>
  </si>
  <si>
    <t>22,01
0,11</t>
  </si>
  <si>
    <t>0,12
0,06*2</t>
  </si>
  <si>
    <t>274
8</t>
  </si>
  <si>
    <t>9,96
0,03</t>
  </si>
  <si>
    <t>28
2</t>
  </si>
  <si>
    <t>1,52
0,01</t>
  </si>
  <si>
    <t>0,06
0,03*2</t>
  </si>
  <si>
    <t>42
3</t>
  </si>
  <si>
    <t>2,28
0,01</t>
  </si>
  <si>
    <t>ФЕР16-02-002-07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</si>
  <si>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65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</si>
  <si>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8143,64
644,51</t>
  </si>
  <si>
    <t>163,75
4,73</t>
  </si>
  <si>
    <t xml:space="preserve">16.38 Прокладка трубопроводов водоснабжения из стальных водогазопроводных оцинкованных труб диаметром: 65 мм: ОЗП=16,9; ЭМ=12; ЗПМ=16,9; МАТ=6,7
 </t>
  </si>
  <si>
    <t>79
3</t>
  </si>
  <si>
    <t>70,21
0,35</t>
  </si>
  <si>
    <t>2,81
0,01</t>
  </si>
  <si>
    <t>ФЕР16-02-002-06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</si>
  <si>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</si>
  <si>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6734,68
526,93</t>
  </si>
  <si>
    <t>122,68
3,55</t>
  </si>
  <si>
    <t xml:space="preserve">16.37 Прокладка трубопроводов водоснабжения из стальных водогазопроводных оцинкованных труб диаметром: 50 мм: ОЗП=16,9; ЭМ=11,93; ЗПМ=16,9; МАТ=6,37
 </t>
  </si>
  <si>
    <t>176
7</t>
  </si>
  <si>
    <t>54,77
0,26</t>
  </si>
  <si>
    <t>6,57
0,03</t>
  </si>
  <si>
    <t>ФЕР16-02-002-04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</si>
  <si>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32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</si>
  <si>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0,08
0,04*2</t>
  </si>
  <si>
    <t>4797,62
410,1</t>
  </si>
  <si>
    <t>68,46
2,54</t>
  </si>
  <si>
    <t xml:space="preserve">16.35 Прокладка трубопроводов водоснабжения из стальных водогазопроводных оцинкованных труб диаметром: 32 мм: ОЗП=16,9; ЭМ=11,91; ЗПМ=16,9; МАТ=6,33
 </t>
  </si>
  <si>
    <t>65
3</t>
  </si>
  <si>
    <t>42,63
0,19</t>
  </si>
  <si>
    <t>3,41
0,02</t>
  </si>
  <si>
    <t>0,4
0,2*2</t>
  </si>
  <si>
    <t>0,3
0,15*2</t>
  </si>
  <si>
    <t>190
95*2</t>
  </si>
  <si>
    <t>Счет ООО "Теплостиль" №ТС/0ЛР/ЦБ001509 от 15.09.2015</t>
  </si>
  <si>
    <t xml:space="preserve">Кран шаровой ГАЛЛОП СТАНДАРТ 11/4" ГГ, руч. (645,00/1,18/5,56=98,31), шт
 </t>
  </si>
  <si>
    <t>6
3*2</t>
  </si>
  <si>
    <t xml:space="preserve">Кран шаровой ГАЛЛОП СТАНДАРТ 1" ГГ, руч. (387,00/1,18/5,56=58,99, шт
 </t>
  </si>
  <si>
    <t>10
5*2</t>
  </si>
  <si>
    <t xml:space="preserve">Кран шаровой ГАЛЛОП СТАНДАРТ  1/2" ГГ, баб. (126,00/1,18/5,56=19,20), шт
 </t>
  </si>
  <si>
    <t>12
6*2</t>
  </si>
  <si>
    <t>Каталог ТСЦ-3/2015 302-9230-90054
--------------------
И8</t>
  </si>
  <si>
    <t xml:space="preserve">Кран шаровой со спускным клапаном ;Itap; для воды, пара, углеводородов и т.д., полный проход проход, никелированный, ВР-ВР, разм.1/2 (144,54/5,56=26,00), шт.
 </t>
  </si>
  <si>
    <t>52
26*2</t>
  </si>
  <si>
    <t xml:space="preserve">Обратный клапан Itap YORK, латунь, ВР-ВР Тmax=110гр.С, Ру 40 бар, Ду32 (600,00/1,18/5,56=91,45), шт
 </t>
  </si>
  <si>
    <t>Прайс "Водяной"
--------------------
И8</t>
  </si>
  <si>
    <t xml:space="preserve">Кран шаровый стальной Ру 16 ALSO Ду80 сварка/сварка   (2294,00/1,18/5,56=349,65), шт.
 </t>
  </si>
  <si>
    <t>4
2*2</t>
  </si>
  <si>
    <t>14
7*2</t>
  </si>
  <si>
    <t xml:space="preserve">Обратный клапан межфланцевый Ду 80 REON тип RSV32 (PN16, Траб.=95°С, Тmax=120°С)   (2438,00/1,18/5,56=371,60), шт
 </t>
  </si>
  <si>
    <t xml:space="preserve">Кран шаровый стальной Ру 16 ALSO Ду65 сварка/сварка (1843,00/1,18/5,56=280,91), шт.
 </t>
  </si>
  <si>
    <t xml:space="preserve">Дисковый поворотный затвор Reon тип RSV 38,  Тмакс=120гр.С, Ру=16бар, Ду=50мм (1658,00/1,18/5,56=252,71), шт
 </t>
  </si>
  <si>
    <t xml:space="preserve">Обратный клапан межфланцевый Ду 50 REON тип RSV32 (PN16, Траб.=95°С, Тmax=120°С)    (1700,00/1,18/5,56=259,11), шт
 </t>
  </si>
  <si>
    <t>497
23</t>
  </si>
  <si>
    <t>7,64
0,12</t>
  </si>
  <si>
    <t>ФЕР18-07-001-02
--------------------
Приказ Минстроя РФ от 30.01.14 №31/пр</t>
  </si>
  <si>
    <t xml:space="preserve">Установка манометров: с трехходовым краном, 1 компл.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</si>
  <si>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36
18*2</t>
  </si>
  <si>
    <t>227,12
2,58</t>
  </si>
  <si>
    <t xml:space="preserve">18.77 Установка манометров: ОЗП=16,9; МАТ=2,42
 </t>
  </si>
  <si>
    <t>ФССЦ-301-1465
--------------------
Приказ Минстроя России от 12.11.14 №703/пр</t>
  </si>
  <si>
    <t xml:space="preserve">Манометр для неагрессивных сред (класс точности 1.5) с резьбовым присоединением марка: МП-3У-16 с трехходовым краном 11П18пкРу16, компл.
 </t>
  </si>
  <si>
    <t>-36
-18*2</t>
  </si>
  <si>
    <t xml:space="preserve">Манометр для неагресивных сред (класс точности 1.5) с резбовым присоединением марка МП-3У-16 с трехходовым краном 11П18пкРу16; МАТ=2,422
 </t>
  </si>
  <si>
    <t>ТССЦо-610-0007-00020</t>
  </si>
  <si>
    <t xml:space="preserve">Манометры технические МП3-Уф, класс точности 1,5, пределы измеряемого давления от 0 до 1600кгс/см2 (540,65/4,02=134,49), шт
 </t>
  </si>
  <si>
    <t xml:space="preserve">Индекс на оборудование ФЕР-2001 3/2015 (жил.строительство); МАТ=4,02
 </t>
  </si>
  <si>
    <t>ФЕР18-07-001-04
--------------------
Приказ Минстроя РФ от 30.01.14 №31/пр</t>
  </si>
  <si>
    <t xml:space="preserve">Установка термометров в оправе прямых и угловых, 1 компл.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</si>
  <si>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20
10*2</t>
  </si>
  <si>
    <t>339,41
3,45</t>
  </si>
  <si>
    <t xml:space="preserve">18.78 Установка термометров: ОЗП=16,9; МАТ=1,05
 </t>
  </si>
  <si>
    <t>ФЕРм12-10-001-01
--------------------
Приказ Минстроя РФ от 30.01.14 №31/пр</t>
  </si>
  <si>
    <t xml:space="preserve">Бобышки, штуцеры на условное давление: до 10 МПа (под термометры), 100 шт.
НР 68%=80%*0.85 от ФОТ
СП 48%=60%*0.8 от ФОТ
 </t>
  </si>
  <si>
    <t>0,2
0,1*2</t>
  </si>
  <si>
    <t>2984,46
629,15</t>
  </si>
  <si>
    <t xml:space="preserve">59.152 Бобышки, штуцеры на условное давление: до 10 МПа: ОЗП=16,9; ЭМ=6,08; ЗПМ=16,9; МАТ=14,19
 </t>
  </si>
  <si>
    <t>ФЕР18-06-007-06
--------------------
Приказ Минстроя РФ от 30.01.14 №31/пр</t>
  </si>
  <si>
    <t xml:space="preserve">Установка фильтров диаметром : 80 мм, 10 фильтров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</si>
  <si>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10629,63
165,5</t>
  </si>
  <si>
    <t>167,44
3,82</t>
  </si>
  <si>
    <t xml:space="preserve">18.72 Установка фильтров диаметром: 80 мм: ОЗП=16,9; ЭМ=9,02; ЗПМ=16,9; МАТ=7,69
 </t>
  </si>
  <si>
    <t>604
26</t>
  </si>
  <si>
    <t>17,3
0,28</t>
  </si>
  <si>
    <t>6,92
0,11</t>
  </si>
  <si>
    <t>ФССЦ-301-1218
--------------------
Приказ Минстроя России от 12.11.14 №703/пр</t>
  </si>
  <si>
    <t xml:space="preserve">Фильтры для очистки воды в трубопроводах систем отопления диаметром: 80 мм, шт.
 </t>
  </si>
  <si>
    <t>-4
-2*2</t>
  </si>
  <si>
    <t xml:space="preserve">Фильтры для очистки воды в трубопроводах систем отопления диаметром:80 мм; МАТ=7,693
 </t>
  </si>
  <si>
    <t xml:space="preserve">Фильтр сетчатый чугунный Ду 80 REON тип RSV06 (PN16, Траб.=150°С, Тmax=180°С) (6040,00/1,18/5,56=920,62), шт.
 </t>
  </si>
  <si>
    <t>ФССЦ-507-1002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</si>
  <si>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80 мм, шт.
 </t>
  </si>
  <si>
    <t>8
4*2</t>
  </si>
  <si>
    <t xml:space="preserve">Фланцы стальные плоские приварные из стали ВСт3сп2, ВСт3сп3; давлением 1,6 МПа (16 кгс/см2), диаметром 80 мм; МАТ=8,674
 </t>
  </si>
  <si>
    <t>ФЕР18-06-007-04
--------------------
Приказ Минстроя РФ от 30.01.14 №31/пр</t>
  </si>
  <si>
    <t xml:space="preserve">Установка фильтров диаметром : 50 мм, 10 фильтров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</si>
  <si>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8454,33
109,16</t>
  </si>
  <si>
    <t>98,8
0,88</t>
  </si>
  <si>
    <t xml:space="preserve">18.70 Установка фильтров диаметром: 50 мм: ОЗП=16,9; ЭМ=9,36; ЗПМ=16,9; МАТ=1,83
 </t>
  </si>
  <si>
    <t>185
3</t>
  </si>
  <si>
    <t>11,41
0,06</t>
  </si>
  <si>
    <t>ФССЦ-301-1216
--------------------
Приказ Минстроя России от 12.11.14 №703/пр</t>
  </si>
  <si>
    <t xml:space="preserve">Фильтры для очистки воды в трубопроводах систем отопления диаметром: 50 мм, шт.
 </t>
  </si>
  <si>
    <t>-2
-1*2</t>
  </si>
  <si>
    <t xml:space="preserve">Фильтры для очистки воды в трубопроводах систем отопления диаметром:50 мм; МАТ=1,83
 </t>
  </si>
  <si>
    <t xml:space="preserve">Фильтр сетчатый чугунный Ду 50 REON тип RSV06 (PN16, Траб.=150°С, Тmax=180°С) (3148,00/1,18/5,56=479,82), шт.
 </t>
  </si>
  <si>
    <t>ФССЦ-507-1000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</si>
  <si>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50 мм, шт.
 </t>
  </si>
  <si>
    <t xml:space="preserve">Фланцы стальные плоские приварные из стали ВСт3сп2, ВСт3сп3; давлением 1,6 МПа (16 кгс/см2), диаметром 50 мм; МАТ=8,358
 </t>
  </si>
  <si>
    <t>ФЕР18-06-007-02
--------------------
Приказ Минстроя РФ от 30.01.14 №31/пр</t>
  </si>
  <si>
    <t xml:space="preserve">Установка фильтров диаметром : 32 мм, 10 фильтров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</si>
  <si>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5779,49
91,08</t>
  </si>
  <si>
    <t>68,52
0,53</t>
  </si>
  <si>
    <t xml:space="preserve">18.68 Установка фильтров диаметром: 32 мм: ОЗП=16,9; ЭМ=8,91; ЗПМ=16,9; МАТ=1,15
 </t>
  </si>
  <si>
    <t>122
2</t>
  </si>
  <si>
    <t>9,41
0,04</t>
  </si>
  <si>
    <t>1,88
0,01</t>
  </si>
  <si>
    <t>ФЕР16-06-005-01
--------------------
Приказ Минстроя РФ от 30.01.14 №31/пр</t>
  </si>
  <si>
    <t xml:space="preserve">Установка счетчиков (водомеров) диаметром: до 40 мм, 1 счетчик (водомер)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</si>
  <si>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1178,36
4,43</t>
  </si>
  <si>
    <t xml:space="preserve">16.175 Установка счетчиков (водомеров) диаметром: до 40 мм: ОЗП=16,9; ЭМ=11,84; ЗПМ=16,9; МАТ=3,36
 </t>
  </si>
  <si>
    <t>ФССЦ-301-3165
--------------------
Приказ Минстроя России от 12.11.14 №703/пр</t>
  </si>
  <si>
    <t xml:space="preserve">Счетчики (водомеры) крыльчатые диаметром: 32 мм, шт.
 </t>
  </si>
  <si>
    <t xml:space="preserve">Счетчики (водомеры) крыльчатые диаметром 32 мм; МАТ=3,358
 </t>
  </si>
  <si>
    <t xml:space="preserve">Водосчетчик холодной воды ВДХ Ду32 с комплектом присоединительных сгонов (2601,00/1,18/5,56=396,45), шт
 </t>
  </si>
  <si>
    <t xml:space="preserve">Установка насосов центробежных с электродвигателем, масса агрегата: до 0,1 т, 1 насос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</si>
  <si>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2730,87
155,93</t>
  </si>
  <si>
    <t>16
0,88</t>
  </si>
  <si>
    <t>907
89</t>
  </si>
  <si>
    <t>16,3
0,06</t>
  </si>
  <si>
    <t>97,8
0,36</t>
  </si>
  <si>
    <t>ФССЦ-301-1494
--------------------
Приказ Минстроя России от 12.11.14 №703/пр</t>
  </si>
  <si>
    <t xml:space="preserve">Насосы центробежные: 8/18 с электродвигателем 4А 180 А2 массой агрегата до 0,1 т, компл.
 </t>
  </si>
  <si>
    <t xml:space="preserve">Hасосы центобежные 8/18 с электродвигателем 4А180А2 массой агрегата до 0,1т; МАТ=4,33
 </t>
  </si>
  <si>
    <t>ФССЦ-507-0983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</si>
  <si>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50 мм, шт.
 </t>
  </si>
  <si>
    <t xml:space="preserve">Фланцы стальные плоские приварные из стали ВСт3сп2, ВСт3сп3; давлением 1.0 МПа (10 кгс/см2), диаметром 50 мм; МАТ=4,97
 </t>
  </si>
  <si>
    <t>ФССЦ-507-0982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</si>
  <si>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40 мм, шт.
 </t>
  </si>
  <si>
    <t xml:space="preserve">Фланцы стальные плоские приварные из стали ВСт3сп2, ВСт3сп3; давлением 1.0 МПа (10 кгс/см2), диаметром 40 мм; МАТ=6,532
 </t>
  </si>
  <si>
    <t>ФССЦ-301-2678
--------------------
Приказ Минстроя России от 12.11.14 №703/пр</t>
  </si>
  <si>
    <t xml:space="preserve">Насос циркуляционный "GRUNDFOS" серии: 100, марки UPS-25х80 (220 В), шт.
 </t>
  </si>
  <si>
    <t xml:space="preserve">Насос циркуляционный 'GRUNDFOS' серии 100, марки UPS-25х80 (220 В); МАТ=5,399
 </t>
  </si>
  <si>
    <t>Коммерческое предложение ООО "Теплостиль" №ТС/0ЛР/ЦБ027550 от 16.09.2015</t>
  </si>
  <si>
    <t xml:space="preserve">Циркуляционный насос Grundfos Magna1 40-120F 1х230V PN6/10  (60956,00/1,18/5,56=9290,94), шт
 </t>
  </si>
  <si>
    <t>ФССЦ-507-0999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</si>
  <si>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40 мм, шт.
 </t>
  </si>
  <si>
    <t xml:space="preserve">Фланцы стальные плоские приварные из стали ВСт3сп2, ВСт3сп3; давлением 1,6 МПа (16 кгс/см2), диаметром 40 мм; МАТ=8,069
 </t>
  </si>
  <si>
    <t xml:space="preserve">Насос дренажный "Хозяин" НДП-250-5 (3744,00/1,18/5,56=570,66), шт
 </t>
  </si>
  <si>
    <t xml:space="preserve">Прибор, устанавливаемый на резьбовых соединениях, масса: до 1,5 кг, 1 шт.
НР 68%=80%*0.85 от ФОТ
СП 48%=60%*0.8 от ФОТ
 </t>
  </si>
  <si>
    <t>11,53
10,22</t>
  </si>
  <si>
    <t>ТССЦо-610-0002-00039
--------------------
с 01.07.2012 Приказ Деп.стр. №9-п от 02.04.12</t>
  </si>
  <si>
    <t xml:space="preserve">Датчик давления (прессостат для воды) KPI 35 , Danfoss  (3856,43/4,02=959,31), шт.
 </t>
  </si>
  <si>
    <t xml:space="preserve">                                   Теплообменник теплового узла ТУ №1</t>
  </si>
  <si>
    <t>ФЕР18-02-001-03
--------------------
Приказ Минстроя России от 12.11.14 №703/пр</t>
  </si>
  <si>
    <t xml:space="preserve">Установка водоподогревателей скоростных односекционных поверхностью нагрева одной секции: до 12 м2, 1 водоподогреватель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</si>
  <si>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27072,49
203,75</t>
  </si>
  <si>
    <t>157,01
2,43</t>
  </si>
  <si>
    <t>1543
41</t>
  </si>
  <si>
    <t>20,56
0,18</t>
  </si>
  <si>
    <t>ФССЦ-301-1603
--------------------
Приказ Минстроя России от 12.11.14 №703/пр</t>
  </si>
  <si>
    <t xml:space="preserve">Водонагреватели односекционные: № 12 с поверхностью нагрева одной секции 12 м2, шт.
 </t>
  </si>
  <si>
    <t xml:space="preserve">Водонагреватели односекционные N 12 с поверхностью нагрева одной секции 12 м2; МАТ=1,973
 </t>
  </si>
  <si>
    <t>ФССЦ-507-0988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</si>
  <si>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150 мм, шт.
 </t>
  </si>
  <si>
    <t xml:space="preserve">Фланцы стальные плоские приварные из стали ВСт3сп2, ВСт3сп3; давлением 1.0 МПа (10 кгс/см2), диаметром 150 мм; МАТ=7,862
 </t>
  </si>
  <si>
    <t>ФССЦ-507-0989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</si>
  <si>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200 мм, шт.
 </t>
  </si>
  <si>
    <t xml:space="preserve">Фланцы стальные плоские приварные из стали ВСт3сп2, ВСт3сп3; давлением 1.0 МПа (10 кгс/см2), диаметром 200 мм; МАТ=8,945
 </t>
  </si>
  <si>
    <t>Прайс "Alfa Lawal", расчет ООО "Сигма"</t>
  </si>
  <si>
    <t xml:space="preserve">Теплообменник ГВС М6-МFG Р1=1,77/0,33м, Р2=1,44/1,03м, количество пластин 34/31, площадь поверхности теплообмена 8,6кв.м.(3507,00 евро х74,58/5,56= 47041,74), шт
 </t>
  </si>
  <si>
    <t xml:space="preserve">                                   Теплообменник теплового узла ТУ №2</t>
  </si>
  <si>
    <t>ФЕР18-02-001-02
--------------------
Приказ Минстроя России от 12.11.14 №703/пр</t>
  </si>
  <si>
    <t xml:space="preserve">Установка водоподогревателей скоростных односекционных поверхностью нагрева одной секции: до 8 м2, 1 водоподогреватель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</si>
  <si>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17216,08
156,45</t>
  </si>
  <si>
    <t>111,92
1,74</t>
  </si>
  <si>
    <t>1100
29</t>
  </si>
  <si>
    <t>15,79
0,13</t>
  </si>
  <si>
    <t>ФССЦ-301-1602
--------------------
Приказ Минстроя России от 12.11.14 №703/пр</t>
  </si>
  <si>
    <t xml:space="preserve">Водонагреватели односекционные: № 10 с поверхностью нагрева одной секции 6,9 м2, шт.
 </t>
  </si>
  <si>
    <t xml:space="preserve">Водонагреватели односекционные N 10 с поверхностью нагрева одной секции 6,9 м2; МАТ=1,882
 </t>
  </si>
  <si>
    <t>ФССЦ-507-0986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</si>
  <si>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100 мм, шт.
 </t>
  </si>
  <si>
    <t xml:space="preserve">Фланцы стальные плоские приварные из стали ВСт3сп2, ВСт3сп3; давлением 1.0 МПа (10 кгс/см2), диаметром 100 мм; МАТ=5,607
 </t>
  </si>
  <si>
    <t>ФССЦ-507-0987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</si>
  <si>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125 мм, шт.
 </t>
  </si>
  <si>
    <t xml:space="preserve">Фланцы стальные плоские приварные из стали ВСт3сп2, ВСт3сп3; давлением 1.0 МПа (10 кгс/см2), диаметром 125 мм; МАТ=7,448
 </t>
  </si>
  <si>
    <t xml:space="preserve">Теплообменник ГВС М6-МFG Р1=1,94/0,374м, Р2=1,6/1,59м, количество пластин 44/42, площадь поверхности теплообмена 5,7кв.м.(2935,00 евро х74,58/5,56= 39369,12), шт
 </t>
  </si>
  <si>
    <t xml:space="preserve">                                   Монтаж КИПиА тепловых узлов ТУ №1, ТУ №2</t>
  </si>
  <si>
    <t>ФЕРм11-03-001-01
--------------------
Приказ Минстроя РФ от 30.01.14 №31/пр</t>
  </si>
  <si>
    <t xml:space="preserve">Приборы, устанавливаемые на металлоконструкциях, щитах и пультах, масса: до 5 кг, 1 шт.
НР 68%=80%*0.85 от ФОТ
СП 48%=60%*0.8 от ФОТ
 </t>
  </si>
  <si>
    <t>6,25
5,16</t>
  </si>
  <si>
    <t xml:space="preserve">58.22 Приборы, устанавливаемые на металлоконструкциях, щитах и пультах: ОЗП=16,9; МАТ=2,9
 </t>
  </si>
  <si>
    <t>Прайс "Сибавтоматика+"</t>
  </si>
  <si>
    <t xml:space="preserve">Контроллер (погодный компенсатор) ТРМ32-Щ4.03  (9794,00/1,18/4,02=2064,68), шт
 </t>
  </si>
  <si>
    <t xml:space="preserve">Датчик температуры наружного воздуха ДТС 125-100М-В2-60 (826,00/1,18/4,02=174,13), шт
 </t>
  </si>
  <si>
    <t xml:space="preserve">Датчик температуры наружного воздуха (погружной датчик температуры) ДТС 105-100М-В3-100 ((1062,00+10%)/1,18/4,02=246,27), шт
 </t>
  </si>
  <si>
    <t xml:space="preserve">Гильза для погружного датчика ГЗ.16.1.1.100 ((708,00+10%)/1,18/5,56=118,71), шт
 </t>
  </si>
  <si>
    <t xml:space="preserve">Бобышки, штуцеры на условное давление: до 10 МПа, 100 шт.
НР 68%=80%*0.85 от ФОТ
СП 48%=60%*0.8 от ФОТ
 </t>
  </si>
  <si>
    <t>ФССЦ-108-0081
--------------------
Приказ Минстроя России от 12.11.14 №703/пр</t>
  </si>
  <si>
    <t xml:space="preserve">Бобышки скошенные, шт.
 </t>
  </si>
  <si>
    <t>-6
-3*2</t>
  </si>
  <si>
    <t xml:space="preserve">Бобышки скошенные; МАТ=11,061
 </t>
  </si>
  <si>
    <t xml:space="preserve">Бобышка Б.У.М 20х1,5.60.1 ((236,00+10%)/1,18/5,56=39,57), шт
 </t>
  </si>
  <si>
    <t>ФЕРм12-12-003-01
--------------------
Приказ Минстроя РФ от 30.01.14 №31/пр</t>
  </si>
  <si>
    <t xml:space="preserve">Арматура фланцевая с электрическим приводом на условное давление до 4 МПа, диаметр условного прохода: 32 мм, 1 шт.
НР 68%=80%*0.85 от ФОТ
СП 48%=60%*0.8 от ФОТ
 </t>
  </si>
  <si>
    <t>46,6
42,33</t>
  </si>
  <si>
    <t xml:space="preserve">59.168 Арматура фланцевая с электрическим приводом на условное давление до 4 МПа: ОЗП=16,9; ЭМ=9,13; ЗПМ=16,9; МАТ=6,07
 </t>
  </si>
  <si>
    <t>ФССЦ-301-7583
--------------------
Приказ Минстроя России от 12.11.14 №703/пр</t>
  </si>
  <si>
    <t xml:space="preserve">Клапан регулирующий двухходовой "Danfoss", марка VB 2, диаметр: 32 мм (31089,20/5,56=5591,58), шт.
 </t>
  </si>
  <si>
    <t>ФССЦ-507-0998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</si>
  <si>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32 мм, шт.
 </t>
  </si>
  <si>
    <t xml:space="preserve">Фланцы стальные плоские приварные из стали ВСт3сп2, ВСт3сп3; давлением 1,6 МПа (16 кгс/см2), диаметром 25 мм; МАТ=6,01
 </t>
  </si>
  <si>
    <t>ТССЦо-622-0002-01002
--------------------
с 01.07.2012 Приказ Деп.стр. №9-п от 02.04.12</t>
  </si>
  <si>
    <t xml:space="preserve">Электропривод редукторный AMV30 для клапанов VS2, VM2, VB2 (50582,81/4,02=12582,79), шт
 </t>
  </si>
  <si>
    <t>ФЕРм12-12-003-02
--------------------
Приказ Минстроя РФ от 30.01.14 №31/пр</t>
  </si>
  <si>
    <t xml:space="preserve">Арматура фланцевая с электрическим приводом на условное давление до 4 МПа, диаметр условного прохода: 40 мм, 1 шт.
НР 68%=80%*0.85 от ФОТ
СП 48%=60%*0.8 от ФОТ
 </t>
  </si>
  <si>
    <t>48,72
42,33</t>
  </si>
  <si>
    <t>ФССЦ-301-7584
--------------------
Приказ Минстроя России от 12.11.14 №703/пр</t>
  </si>
  <si>
    <t xml:space="preserve">Клапан регулирующий двухходовой "Danfoss", марка VB 2, диаметр: 40 мм (38244,76/5,56=6878,55), шт.
 </t>
  </si>
  <si>
    <t>ТССЦо-622-0002-01001</t>
  </si>
  <si>
    <t xml:space="preserve">Электропривод редукторный AMV20 для клапанов VS2, VM2, VB2 (39641,21/4,02=9861,00), шт
 </t>
  </si>
  <si>
    <t>ФЕРм11-02-002-01</t>
  </si>
  <si>
    <t xml:space="preserve">Приборы, устанавливаемые на фланцевых соединениях, масса, кг, до: 1,5, шт.
НР 68%=80%*0.85 от ФОТ
СП 48%=60%*0.8 от ФОТ
 </t>
  </si>
  <si>
    <t>22,55
20,41</t>
  </si>
  <si>
    <t xml:space="preserve">58.4 Приборы, устанавливаемые на фланцевых соединениях: ОЗП=16,9; МАТ=3,82
 </t>
  </si>
  <si>
    <t xml:space="preserve">Регулятор перепада давления AVP Ду50 фланцевый (195709,02/1,18/4,02=41257,49), шт
 </t>
  </si>
  <si>
    <t>Счет ООО "ТК Компакт" №С11 от 04.09.2015</t>
  </si>
  <si>
    <t xml:space="preserve">Импульсная трубка AV 1/2" (5002,00/1,18/5,56=762,41), шт
 </t>
  </si>
  <si>
    <t>ФЕРм08-03-573-04
--------------------
Приказ Минстроя РФ от 30.01.14 №31/пр</t>
  </si>
  <si>
    <t xml:space="preserve">Шкаф (пульт) управления навесной, высота, ширина и глубина: до 600х600х350 мм, 1 шт.
НР 81%=95%*0.85 от ФОТ
СП 52%=65%*0.8 от ФОТ
 </t>
  </si>
  <si>
    <t>68,25
23,51</t>
  </si>
  <si>
    <t>41,74
3,16</t>
  </si>
  <si>
    <t xml:space="preserve">55.499 Шкаф (пульт) управления навесной: ОЗП=16,9; ЭМ=7,92; ЗПМ=16,9; МАТ=4,2
 </t>
  </si>
  <si>
    <t>661
107</t>
  </si>
  <si>
    <t>2,37
0,29</t>
  </si>
  <si>
    <t>4,74
0,58</t>
  </si>
  <si>
    <t>Коммерческое предложение "ТК "Компакт"</t>
  </si>
  <si>
    <t xml:space="preserve">Шкаф управления теплового узла индивидуальной сборки с таймером (27180,00/4,02=6761,19), шт
 </t>
  </si>
  <si>
    <t xml:space="preserve">                                   Общестроительные работы тепловых узлов ТУ №1, ТУ №2</t>
  </si>
  <si>
    <t>0,152
0,076*2</t>
  </si>
  <si>
    <t xml:space="preserve">Окраска металлических огрунтованных поверхностей: краской БТ-177 серебристой,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Количество окрасок-2 ПЗ=2 (ОЗП=2; ЭМ=2 к расх.; ЗПМ=2; МАТ=2 к расх.; ТЗ=2; ТЗМ=2)
НР 69%=90%*(0.9*0.85) от ФОТ
СП 48%=70%*(0.85*0.8) от ФОТ
 </t>
  </si>
  <si>
    <t>51
1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</si>
  <si>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</si>
  <si>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77%=100%*(0.9*0.85) от ФОТ
СП 48%=70%*(0.85*0.8) от ФОТ
 </t>
  </si>
  <si>
    <t>1,2
0,6*2</t>
  </si>
  <si>
    <t>1603,97
211,58</t>
  </si>
  <si>
    <t xml:space="preserve">26.13. Изоляция трубопроводов: матами минераловатными марок 75, 100, плитами минераловатными на синтетическом связующем марки 75: ОЗП=16,9; ЭМ=11,72; ЗПМ=16,9; МАТ=3,43
 </t>
  </si>
  <si>
    <t>ФССЦ-104-0009
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</si>
  <si>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</si>
  <si>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>-1,848
-0,924*2</t>
  </si>
  <si>
    <t xml:space="preserve">Маты прошивные из минеральной ваты:без обкладок М-100, толщина 60 мм; МАТ=3,342
 </t>
  </si>
  <si>
    <t xml:space="preserve">Теплоизоляция ISOVER KIM-AL 50 (4570,00/1,18/5,56=696,56), м3
 </t>
  </si>
  <si>
    <t>1,848
0,924*2</t>
  </si>
  <si>
    <t xml:space="preserve">                                   Электромонтажные работы  тепловых узлов ТУ №1, ТУ №2</t>
  </si>
  <si>
    <t>ФЕРм08-02-413-01
--------------------
Приказ Минстроя РФ от 30.01.14 №31/пр</t>
  </si>
  <si>
    <t xml:space="preserve">Провод, количество проводов в резинобитумной трубке: до 2, сечение провода до 6 мм2, 100 м трубок
НР 81%=95%*0.85 от ФОТ
СП 52%=65%*0.8 от ФОТ
 </t>
  </si>
  <si>
    <t>1,62
0,81*2</t>
  </si>
  <si>
    <t>256,35
151,9</t>
  </si>
  <si>
    <t>39,93
2,43</t>
  </si>
  <si>
    <t xml:space="preserve">55.320 Провод в резинобитумных трубках: ОЗП=16,9; ЭМ=10,13; ЗПМ=16,9; МАТ=3,46
 </t>
  </si>
  <si>
    <t>655
67</t>
  </si>
  <si>
    <t>16,16
0,18</t>
  </si>
  <si>
    <t>26,18
0,29</t>
  </si>
  <si>
    <t>ФССЦ-507-3484
--------------------
Приказ Минстроя России от 12.11.14 №703/пр</t>
  </si>
  <si>
    <t xml:space="preserve">Трубы поливинилхлоридные (ПВХ) диаметром: 16 мм, м
 </t>
  </si>
  <si>
    <t>162
81*2</t>
  </si>
  <si>
    <t xml:space="preserve">Трубы поливинилхлоридные (ПВХ) диаметром 16 мм; МАТ=1,234
 </t>
  </si>
  <si>
    <t>ФЕРм08-02-390-02
--------------------
Приказ Минстроя РФ от 30.01.14 №31/пр</t>
  </si>
  <si>
    <t xml:space="preserve">Короба пластмассовые: шириной до 63 мм, 100 м
НР 81%=95%*0.85 от ФОТ
СП 52%=65%*0.8 от ФОТ
 </t>
  </si>
  <si>
    <t>0,16
0,08*2</t>
  </si>
  <si>
    <t>280,08
174,89</t>
  </si>
  <si>
    <t>35,26
0,14</t>
  </si>
  <si>
    <t xml:space="preserve">55.282 Короба пластмассовые: ОЗП=16,9; ЭМ=4,52; ЗПМ=16,9; МАТ=1,58
 </t>
  </si>
  <si>
    <t>18,39
0,01</t>
  </si>
  <si>
    <t>ФССЦ-509-1836
--------------------
Приказ Минстроя России от 12.11.14 №703/пр</t>
  </si>
  <si>
    <t xml:space="preserve">Кабель-канал (короб) "Электропласт": 60x40 мм, 100 м
 </t>
  </si>
  <si>
    <t xml:space="preserve">Кабель-канал (короб) 'Электропласт' 60x40 мм; МАТ=6,649
 </t>
  </si>
  <si>
    <t>ФЕРм08-02-399-01
--------------------
Приказ Минстроя РФ от 30.01.14 №31/пр</t>
  </si>
  <si>
    <t xml:space="preserve">Провод в коробах, сечением: до 6 мм2, 100 м
НР 81%=95%*0.85 от ФОТ
СП 52%=65%*0.8 от ФОТ
 </t>
  </si>
  <si>
    <t>1,44
0,72*2</t>
  </si>
  <si>
    <t>41,55
26,51</t>
  </si>
  <si>
    <t>2,22
0,14</t>
  </si>
  <si>
    <t xml:space="preserve">55.292 Провода в коробах: ОЗП=16,9; ЭМ=10,13; ЗПМ=16,9; МАТ=3,93
 </t>
  </si>
  <si>
    <t>32
3</t>
  </si>
  <si>
    <t>2,82
0,01</t>
  </si>
  <si>
    <t>4,06
0,01</t>
  </si>
  <si>
    <t>ФССЦ-501-8482
--------------------
Приказ Минстроя России от 12.11.14 №703/пр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</si>
  <si>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- 3 и сечением 1,5 мм2, 1000 м
 </t>
  </si>
  <si>
    <t>0,0816
0,04*1,02*2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</si>
  <si>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мм2; МАТ=6,327
 </t>
  </si>
  <si>
    <t>ФССЦ-501-8483
--------------------
Приказ Минстроя России от 12.11.14 №703/пр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</si>
  <si>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- 3 и сечением 2,5 мм2, 1000 м
 </t>
  </si>
  <si>
    <t>0,0204
0,01*1,02*2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</si>
  <si>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2,5 мм2; МАТ=6,553
 </t>
  </si>
  <si>
    <t>ФССЦ-501-8491
--------------------
Приказ Минстроя России от 12.11.14 №703/пр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</si>
  <si>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- 4 и сечением 1,5 мм2, 1000 м
 </t>
  </si>
  <si>
    <t>0,0408
0,02*1,02*2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</si>
  <si>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- 4 и сечением 1,5 мм2; МАТ=6,25
 </t>
  </si>
  <si>
    <t>501-9003-91404 прим.
--------------------
И8</t>
  </si>
  <si>
    <t xml:space="preserve">Кабели монтажные многожильные   экранизированные с пластмассовой изоляции на напряжение до 500 В  с  медными жилами  МКЭШ сечением: 5х0,35 мм2 (22990,35/5,56=4134,96), 1000 м
 </t>
  </si>
  <si>
    <t>0,1632
0,08*1,02*2</t>
  </si>
  <si>
    <t>Прайс "ЭТМ"</t>
  </si>
  <si>
    <t xml:space="preserve">Провод ПВСнг-LS 2х0,75 (А) (23,50/1,18/5,56=3,58), м
 </t>
  </si>
  <si>
    <t>6,18
3*1,03*2</t>
  </si>
  <si>
    <t>ФЕРм11-08-001-02
--------------------
Приказ Минстроя РФ от 30.01.14 №31/пр</t>
  </si>
  <si>
    <t xml:space="preserve">Присоединение к приборам электрических проводок под винт: с изготовлением колец, 100 концов жил
НР 68%=80%*0.85 от ФОТ
СП 48%=60%*0.8 от ФОТ
 </t>
  </si>
  <si>
    <t>0,9
0,45*2</t>
  </si>
  <si>
    <t>135,01
90,48</t>
  </si>
  <si>
    <t xml:space="preserve">58.60 Присоединение к приборам электрических проводок под винт: ОЗП=16,9; МАТ=4,15
 </t>
  </si>
  <si>
    <t xml:space="preserve">                                   Устройство дренажных приямков 500х500х800 ТУ№1, ТУ№2</t>
  </si>
  <si>
    <t>ФЕРр57-2-4
--------------------
Приказ Минстроя РФ от 30.01.14 №31/пр</t>
  </si>
  <si>
    <t xml:space="preserve">Разборка покрытий полов: цементных, 100 м2 покрытия
НР 68%=80%*0.85 от ФОТ
СП 54%=68%*0.8 от ФОТ
 </t>
  </si>
  <si>
    <t>0,011
0,0055*2</t>
  </si>
  <si>
    <t>2791,56
948,54</t>
  </si>
  <si>
    <t>1843,02
217,35</t>
  </si>
  <si>
    <t xml:space="preserve">83.2 Разборка покрытий полов: ОЗП=16,9; ЭМ=7,43; ЗПМ=16,9
 </t>
  </si>
  <si>
    <t>151
40</t>
  </si>
  <si>
    <t>111,2
21</t>
  </si>
  <si>
    <t>1,22
0,23</t>
  </si>
  <si>
    <t>ФЕР08-02-001-09
--------------------
Приказ Минстроя РФ от 30.01.14 №31/пр</t>
  </si>
  <si>
    <t xml:space="preserve">Кладка стен приямков и каналов, 1 м3 кладки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93%=122%*(0.9*0.85) от ФОТ
СП 54%=80%*(0.85*0.8) от ФОТ
 </t>
  </si>
  <si>
    <t>929,85
67,65</t>
  </si>
  <si>
    <t>38,88
6,08</t>
  </si>
  <si>
    <t xml:space="preserve">8.14. Кладка стен из кирпича: ОЗП=16,9; ЭМ=12,12; ЗПМ=16,9; МАТ=4,7
 </t>
  </si>
  <si>
    <t>188
41</t>
  </si>
  <si>
    <t>8,14
0,45</t>
  </si>
  <si>
    <t>3,26
0,18</t>
  </si>
  <si>
    <t>ФЕР06-01-001-01
--------------------
Приказ Минстроя РФ от 30.01.14 №31/пр</t>
  </si>
  <si>
    <t xml:space="preserve">Устройство бетонной подготовки, 100 м3 бетона, бутобетона и железобетона в деле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80%=105%*(0.9*0.85) от ФОТ
СП 44%=65%*(0.85*0.8) от ФОТ
 </t>
  </si>
  <si>
    <t>0,0005
0,00025*2</t>
  </si>
  <si>
    <t>59193,25
1614,6</t>
  </si>
  <si>
    <t>1988,16
303,75</t>
  </si>
  <si>
    <t xml:space="preserve">6.1. Устройство бетонной подготовки: ОЗП=16,9; ЭМ=12,1; ЗПМ=16,9; МАТ=5,02
 </t>
  </si>
  <si>
    <t>12
3</t>
  </si>
  <si>
    <t>207
22,5</t>
  </si>
  <si>
    <t>0,1
0,01</t>
  </si>
  <si>
    <t>ФССЦ-401-0061
--------------------
Приказ Минстроя России от 12.11.14 №703/пр</t>
  </si>
  <si>
    <t xml:space="preserve">Бетон тяжелый, крупность заполнителя: 20 мм, класс В3,5 (М50), м3
 </t>
  </si>
  <si>
    <t>-0,051
-0,0255*2</t>
  </si>
  <si>
    <t xml:space="preserve">Бетон тяжелый, крупность заполнителя 20 мм, класс:  В 3,5 (М50); МАТ=5,092
 </t>
  </si>
  <si>
    <t>ФССЦ-401-0041
--------------------
Приказ Минстроя России от 12.11.14 №703/пр</t>
  </si>
  <si>
    <t xml:space="preserve">Бетон тяжелый, крупность заполнителя: 40 мм, класс В3,5 (М50), м3
 </t>
  </si>
  <si>
    <t xml:space="preserve">Бетон тяжелый, крупность заполнителя 40 мм, класс: В 3,5 (М50); МАТ=5,04
 </t>
  </si>
  <si>
    <t>ФЕР11-01-011-01
--------------------
Приказ Минстроя РФ от 30.01.14 №31/пр</t>
  </si>
  <si>
    <t xml:space="preserve">Устройство стяжек: цементных толщиной 20 мм, 100 м2 стяжки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94%=123%*(0.9*0.85) от ФОТ
СП 51%=75%*(0.85*0.8) от ФОТ
 </t>
  </si>
  <si>
    <t>0,032
0,016*2</t>
  </si>
  <si>
    <t>1543,14
360,77</t>
  </si>
  <si>
    <t>55,3
21,44</t>
  </si>
  <si>
    <t xml:space="preserve">11.27. Устройство стяжек: цементных: ОЗП=16,9; ЭМ=7,78; ЗПМ=16,9; МАТ=6,47
 </t>
  </si>
  <si>
    <t>14
12</t>
  </si>
  <si>
    <t>45,44
1,59</t>
  </si>
  <si>
    <t>1,45
0,05</t>
  </si>
  <si>
    <t>ФЕР08-02-007-03
--------------------
Приказ Минстроя РФ от 30.01.14 №31/пр</t>
  </si>
  <si>
    <t xml:space="preserve">Установка металлических решеток приямков, 1 т металлических изделий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93%=122%*(0.9*0.85) от ФОТ
СП 54%=80%*(0.85*0.8) от ФОТ
 </t>
  </si>
  <si>
    <t>0,03
0,015*2</t>
  </si>
  <si>
    <t>12779,63
482,76</t>
  </si>
  <si>
    <t>270,65
11,65</t>
  </si>
  <si>
    <t xml:space="preserve">8.23. Установка металлических решеток приямков: ОЗП=16,9; ЭМ=11,9; ЗПМ=16,9; МАТ=5,34
 </t>
  </si>
  <si>
    <t>97
6</t>
  </si>
  <si>
    <t>54,49
0,86</t>
  </si>
  <si>
    <t>1,63
0,03</t>
  </si>
  <si>
    <t xml:space="preserve">                                   Сопутствующие работы</t>
  </si>
  <si>
    <t>ФЕР16-07-003-07
--------------------
Приказ Минстроя РФ от 30.01.14 №31/пр</t>
  </si>
  <si>
    <t xml:space="preserve">Врезка в действующие внутренние сети трубопроводов отопления и водоснабжения диаметром: 80 мм, 1 врезка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</si>
  <si>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596,93
82,54</t>
  </si>
  <si>
    <t>14,64
0,34</t>
  </si>
  <si>
    <t xml:space="preserve">16.190 Врезка в действующие внутренние сети трубопроводов отопления и водоснабжения диаметром: 80 мм: ОЗП=16,9; ЭМ=9,61; ЗПМ=16,9; МАТ=4,45
 </t>
  </si>
  <si>
    <t>563
23</t>
  </si>
  <si>
    <t>8,58
0,03</t>
  </si>
  <si>
    <t>34,32
0,12</t>
  </si>
  <si>
    <t>ФЕР16-07-003-06
--------------------
Приказ Минстроя РФ от 30.01.14 №31/пр</t>
  </si>
  <si>
    <t xml:space="preserve">Врезка в действующие внутренние сети трубопроводов отопления и водоснабжения диаметром: 50 мм, 1 врезка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</si>
  <si>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396,81
71,14</t>
  </si>
  <si>
    <t>8,75
0,18</t>
  </si>
  <si>
    <t xml:space="preserve">16.189 Врезка в действующие внутренние сети трубопроводов отопления и водоснабжения диаметром: 50 мм: ОЗП=16,9; ЭМ=8,76; ЗПМ=16,9; МАТ=4,28
 </t>
  </si>
  <si>
    <t>307
12</t>
  </si>
  <si>
    <t>7,39
0,01</t>
  </si>
  <si>
    <t>29,56
0,04</t>
  </si>
  <si>
    <t>ФЕР16-07-003-04
--------------------
Приказ Минстроя РФ от 30.01.14 №31/пр</t>
  </si>
  <si>
    <t xml:space="preserve">Врезка в действующие внутренние сети трубопроводов отопления и водоснабжения диаметром: 32 мм, 1 врезка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</si>
  <si>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105,36
50,88</t>
  </si>
  <si>
    <t xml:space="preserve">16.187 Врезка в действующие внутренние сети трубопроводов отопления и водоснабжения диаметром: 32 мм: ОЗП=16,9; ЭМ=8,48; ЗПМ=16,9; МАТ=5,42
 </t>
  </si>
  <si>
    <t>11771
657</t>
  </si>
  <si>
    <t>500,28
3,1</t>
  </si>
  <si>
    <t xml:space="preserve">  63% =  74%*0.85 ФОТ (от 7038)  (Поз. 62-64)</t>
  </si>
  <si>
    <t xml:space="preserve">  68% =  80%*0.85 ФОТ (от 10605)  (Поз. 171, 67, 96, 117, 132, 134, 138, 141, 145, 149, 170)</t>
  </si>
  <si>
    <t xml:space="preserve">  69% =  90%*(0.9*0.85) ФОТ (от 322)  (Поз. 155-156)</t>
  </si>
  <si>
    <t xml:space="preserve">  81% =  95%*0.85 ФОТ (от 6249)  (Поз. 153, 160, 162, 164)</t>
  </si>
  <si>
    <t xml:space="preserve">  77% =  100%*(0.9*0.85) ФОТ (от 4291)  (Поз. 157)</t>
  </si>
  <si>
    <t xml:space="preserve">  80% =  105%*(0.9*0.85) ФОТ (от 17)  (Поз. 173)</t>
  </si>
  <si>
    <t xml:space="preserve">  93% =  122%*(0.9*0.85) ФОТ (от 749)  (Поз. 172, 177)</t>
  </si>
  <si>
    <t xml:space="preserve">  94% =  123%*(0.9*0.85) ФОТ (от 207)  (Поз. 176)</t>
  </si>
  <si>
    <t xml:space="preserve">  98% =  128%*(0.9*0.85) ФОТ (от 52056)  (Поз. 65-66, 68-76, 90, 92, 95, 97, 101, 105-106, 109, 119, 125, 178-180)</t>
  </si>
  <si>
    <t xml:space="preserve">  40% =  50%*0.8 ФОТ (от 7038)  (Поз. 62-64)</t>
  </si>
  <si>
    <t xml:space="preserve">  48% =  60%*0.8 ФОТ (от 10389)  (Поз. 67, 96, 117, 132, 134, 138, 141, 145, 149, 170)</t>
  </si>
  <si>
    <t xml:space="preserve">  44% =  65%*(0.85*0.8) ФОТ (от 17)  (Поз. 173)</t>
  </si>
  <si>
    <t xml:space="preserve">  52% =  65%*0.8 ФОТ (от 6249)  (Поз. 153, 160, 162, 164)</t>
  </si>
  <si>
    <t xml:space="preserve">  54% =  68%*0.8 ФОТ (от 216)  (Поз. 171)</t>
  </si>
  <si>
    <t xml:space="preserve">  48% =  70%*(0.85*0.8) ФОТ (от 4613)  (Поз. 155-157)</t>
  </si>
  <si>
    <t xml:space="preserve">  51% =  75%*(0.85*0.8) ФОТ (от 207)  (Поз. 176)</t>
  </si>
  <si>
    <t xml:space="preserve">  54% =  80%*(0.85*0.8) ФОТ (от 749)  (Поз. 172, 177)</t>
  </si>
  <si>
    <t xml:space="preserve">  56% =  83%*(0.85*0.8) ФОТ (от 52056)  (Поз. 65-66, 68-76, 90, 92, 95, 97, 101, 105-106, 109, 119, 125, 178-180)</t>
  </si>
  <si>
    <t>Итоги по разделу 2 Тепловые узлы ТУ№1, ТУ№2 :</t>
  </si>
  <si>
    <t xml:space="preserve">  Итого Строительные работы</t>
  </si>
  <si>
    <t>399,22
2,22</t>
  </si>
  <si>
    <t xml:space="preserve">  Итого Монтажные работы</t>
  </si>
  <si>
    <t>101,06
0,88</t>
  </si>
  <si>
    <t xml:space="preserve">  Итого Оборудование</t>
  </si>
  <si>
    <t xml:space="preserve">      Оборудование</t>
  </si>
  <si>
    <t xml:space="preserve">  Итого по разделу 2 Тепловые узлы ТУ№1, ТУ№2</t>
  </si>
  <si>
    <t xml:space="preserve">                           Раздел 3. Вывоз мусора, вывоз лома</t>
  </si>
  <si>
    <t>ФССЦпг01-01-01-041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</si>
  <si>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вручную, 1 т груза
НР 100% от ФОТ
СП 60% от ФОТ
 </t>
  </si>
  <si>
    <t>42,98
42,98</t>
  </si>
  <si>
    <t xml:space="preserve">Мусор строительный с погрузкой вручную: ОЗП=11,13
 </t>
  </si>
  <si>
    <t>ФССЦпг03-21-01-010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</si>
  <si>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10 км I класс груза, 1 т груза
НР 0% от ФОТ
СП 0% от ФОТ
 </t>
  </si>
  <si>
    <t xml:space="preserve">Перевозка грузов автомобилями-самосвалами грузоподъемностью 10 т, работающих вне карьера, на расстояние: до 10 км.: I класс груза; ЭМ=9,84
 </t>
  </si>
  <si>
    <t>ФССЦпг01-01-01-014
--------------------
Приказ Минстроя России от 12.11.14 №703/пр</t>
  </si>
  <si>
    <t xml:space="preserve">Погрузочные работы при автомобильных перевозках: изделий металлических (армокаркасы, заготовки трубные и др.) (чугунный и стальной лом), 1 т груза
НР 100% от ФОТ
СП 60% от ФОТ
 </t>
  </si>
  <si>
    <t xml:space="preserve">Изделия металлические (армокаркасы, заготовки трубные и другие): погрузка; ЭМ=13,99
 </t>
  </si>
  <si>
    <t>ФССЦпг03-21-01-007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</si>
  <si>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7 км I класс груза (чугунный и стальной лом), 1 т груза
НР 0% от ФОТ
СП 0% от ФОТ
 </t>
  </si>
  <si>
    <t xml:space="preserve">Перевозка грузов автомобилями-самосвалами грузоподъемностью 10 т, работающих вне карьера, на расстояние: до 7 км.: I класс груза; ЭМ=9,84
 </t>
  </si>
  <si>
    <t xml:space="preserve">   100% ФОТ (от 136)  (Поз. 181, 183)</t>
  </si>
  <si>
    <t xml:space="preserve">   60% ФОТ (от 136)  (Поз. 181, 183)</t>
  </si>
  <si>
    <t>Итоги по разделу 3 Вывоз мусора, вывоз лома :</t>
  </si>
  <si>
    <t xml:space="preserve">  Погрузо-разгрузочные работы при автоперевозках</t>
  </si>
  <si>
    <t xml:space="preserve">  Перевозка грузов автотранспортом</t>
  </si>
  <si>
    <t xml:space="preserve">  Итого по разделу 3 Вывоз мусора, вывоз лома</t>
  </si>
  <si>
    <t>Итого прямые затраты по смете в текущих ценах</t>
  </si>
  <si>
    <t>189967
42344</t>
  </si>
  <si>
    <t>7299,44
209,55</t>
  </si>
  <si>
    <t>Итоги по смете:</t>
  </si>
  <si>
    <t>7198,38
208,67</t>
  </si>
  <si>
    <t xml:space="preserve">  ВСЕГО по смете</t>
  </si>
  <si>
    <t>Капитальный ремонт внутридомовых инженерных систем теплоснабжения  в многоквартирном доме, расположенном по адресу: Томская область, г.Томск, пр. Мира, д.5</t>
  </si>
  <si>
    <t>ЛОКАЛЬНЫЙ СМЕТНЫЙ РАСЧЕТ №  02-01-01</t>
  </si>
  <si>
    <t>И.о. Генерального директора Фонда "Региональный</t>
  </si>
  <si>
    <t>фонд капитального ремонта многоквартирных домов</t>
  </si>
  <si>
    <t>Томской области"</t>
  </si>
  <si>
    <t>______________С.В. Световец</t>
  </si>
  <si>
    <r>
      <t xml:space="preserve">на  </t>
    </r>
    <r>
      <rPr>
        <b/>
        <sz val="9"/>
        <rFont val="Tahoma"/>
        <family val="2"/>
        <charset val="204"/>
      </rPr>
      <t>Капитальный ремонт внутридомовых инженерных систем теплоснабжения  в многоквартирном доме, расположенном по адресу: Томская область, г.Томск, пр. Мира, д.5</t>
    </r>
  </si>
  <si>
    <t>Основание:  РД 52-215-ОВ</t>
  </si>
  <si>
    <t>Составлен(а) в текущих ценах по состоянию на 3 кв. 2015 года</t>
  </si>
  <si>
    <t>СПРАВОЧНО: возвратные суммы от сдачи чугунного и стального лома (21т х4700,00 руб.+9,354т х4400,00 руб.)</t>
  </si>
  <si>
    <t>Проведена проверка достоверности определения сметной стоимости</t>
  </si>
  <si>
    <t>Составил:____________________________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</si>
</sst>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Unicode MS"/>
      <family val="2"/>
      <charset val="204"/>
    </font>
    <font>
      <u/>
      <sz val="10"/>
      <color indexed="12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u/>
      <sz val="10"/>
      <name val="Arial Cyr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0"/>
      <color rgb="FFFF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0" borderId="1">
      <alignment horizontal="center"/>
    </xf>
    <xf numFmtId="0" fontId="7" fillId="0" borderId="1">
      <alignment horizont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horizontal="right" vertical="top" wrapText="1"/>
    </xf>
    <xf numFmtId="0" fontId="7" fillId="0" borderId="1">
      <alignment horizontal="center" wrapText="1"/>
    </xf>
    <xf numFmtId="0" fontId="7" fillId="0" borderId="1">
      <alignment horizontal="center"/>
    </xf>
    <xf numFmtId="0" fontId="7" fillId="0" borderId="1">
      <alignment horizontal="center"/>
    </xf>
    <xf numFmtId="0" fontId="7" fillId="0" borderId="1">
      <alignment horizontal="center"/>
    </xf>
    <xf numFmtId="0" fontId="7" fillId="0" borderId="0">
      <alignment horizontal="center" vertical="top" wrapText="1"/>
    </xf>
    <xf numFmtId="0" fontId="7" fillId="0" borderId="0" applyProtection="0">
      <alignment horizontal="right" indent="1"/>
    </xf>
    <xf numFmtId="0" fontId="7" fillId="0" borderId="0">
      <alignment horizontal="center"/>
    </xf>
    <xf numFmtId="0" fontId="7" fillId="0" borderId="0">
      <alignment horizontal="left" vertical="top"/>
    </xf>
  </cellStyleXfs>
  <cellXfs count="156">
    <xf numFmtId="0" fontId="0" fillId="0" borderId="0" xfId="0"/>
    <xf numFmtId="0" fontId="2" fillId="0" borderId="0" xfId="0" applyFont="1"/>
    <xf numFmtId="0" fontId="4" fillId="0" borderId="0" xfId="3" applyAlignment="1" applyProtection="1"/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3" fontId="0" fillId="0" borderId="0" xfId="0" applyNumberForma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7" fillId="0" borderId="0" xfId="12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14" fillId="0" borderId="7" xfId="0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0" fontId="15" fillId="0" borderId="7" xfId="0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6" xfId="12" applyBorder="1" applyAlignment="1">
      <alignment horizontal="center" vertical="top" wrapText="1"/>
    </xf>
    <xf numFmtId="49" fontId="0" fillId="0" borderId="7" xfId="0" applyNumberFormat="1" applyBorder="1" applyAlignment="1">
      <alignment wrapText="1"/>
    </xf>
    <xf numFmtId="0" fontId="1" fillId="0" borderId="7" xfId="0" applyFont="1" applyBorder="1"/>
    <xf numFmtId="49" fontId="14" fillId="0" borderId="7" xfId="0" applyNumberFormat="1" applyFont="1" applyBorder="1" applyAlignment="1">
      <alignment wrapText="1"/>
    </xf>
    <xf numFmtId="0" fontId="7" fillId="0" borderId="9" xfId="12" applyBorder="1" applyAlignment="1">
      <alignment horizontal="center" vertical="top" wrapText="1"/>
    </xf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/>
    <xf numFmtId="0" fontId="7" fillId="0" borderId="0" xfId="5" applyFont="1" applyBorder="1" applyAlignment="1">
      <alignment horizontal="center" wrapText="1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18" fillId="0" borderId="0" xfId="11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/>
    <xf numFmtId="0" fontId="18" fillId="0" borderId="11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0" xfId="0" quotePrefix="1" applyFont="1" applyBorder="1" applyAlignment="1">
      <alignment horizontal="right" vertical="top"/>
    </xf>
    <xf numFmtId="0" fontId="18" fillId="0" borderId="0" xfId="0" quotePrefix="1" applyFont="1" applyFill="1" applyBorder="1" applyAlignment="1">
      <alignment horizontal="left" vertical="top"/>
    </xf>
    <xf numFmtId="0" fontId="21" fillId="0" borderId="0" xfId="0" applyFont="1" applyBorder="1" applyAlignment="1">
      <alignment horizontal="right" vertical="top" wrapText="1"/>
    </xf>
    <xf numFmtId="0" fontId="18" fillId="0" borderId="0" xfId="0" quotePrefix="1" applyFont="1" applyBorder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7" fillId="0" borderId="0" xfId="0" applyFont="1" applyAlignment="1"/>
    <xf numFmtId="0" fontId="17" fillId="0" borderId="0" xfId="12" applyFont="1" applyAlignment="1">
      <alignment horizontal="left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vertical="top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5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right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righ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right" vertical="top" wrapText="1"/>
    </xf>
    <xf numFmtId="0" fontId="17" fillId="0" borderId="1" xfId="4" applyFont="1" applyBorder="1" applyAlignment="1">
      <alignment horizontal="right" vertical="top" wrapText="1"/>
    </xf>
    <xf numFmtId="0" fontId="19" fillId="0" borderId="0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7" fillId="0" borderId="0" xfId="0" applyFont="1" applyBorder="1" applyAlignment="1">
      <alignment horizontal="right" vertical="top" wrapText="1"/>
    </xf>
    <xf numFmtId="0" fontId="18" fillId="0" borderId="0" xfId="10" quotePrefix="1" applyFont="1" applyAlignment="1">
      <alignment horizontal="left"/>
    </xf>
    <xf numFmtId="0" fontId="17" fillId="0" borderId="1" xfId="0" applyFont="1" applyBorder="1" applyAlignment="1">
      <alignment horizontal="right" vertical="top" wrapText="1"/>
    </xf>
    <xf numFmtId="0" fontId="19" fillId="0" borderId="1" xfId="0" applyNumberFormat="1" applyFont="1" applyBorder="1" applyAlignment="1">
      <alignment horizontal="righ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7" fillId="0" borderId="0" xfId="1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20" fillId="0" borderId="0" xfId="1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vertical="top"/>
    </xf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7" fillId="0" borderId="1" xfId="0" applyFont="1" applyBorder="1" applyAlignment="1"/>
    <xf numFmtId="0" fontId="17" fillId="0" borderId="0" xfId="0" applyFont="1" applyBorder="1" applyAlignment="1"/>
    <xf numFmtId="0" fontId="20" fillId="0" borderId="0" xfId="1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7" fillId="0" borderId="0" xfId="10" applyFont="1" applyBorder="1" applyAlignment="1">
      <alignment horizontal="left" vertical="top" wrapText="1"/>
    </xf>
    <xf numFmtId="0" fontId="17" fillId="0" borderId="1" xfId="4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0" fillId="0" borderId="1" xfId="4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8" fillId="0" borderId="0" xfId="10" quotePrefix="1" applyFont="1" applyAlignment="1">
      <alignment horizontal="left"/>
    </xf>
    <xf numFmtId="0" fontId="18" fillId="0" borderId="0" xfId="10" applyFont="1" applyAlignment="1">
      <alignment horizontal="left"/>
    </xf>
    <xf numFmtId="0" fontId="18" fillId="0" borderId="11" xfId="10" applyFont="1" applyBorder="1">
      <alignment horizontal="right" indent="1"/>
    </xf>
    <xf numFmtId="0" fontId="18" fillId="0" borderId="12" xfId="10" applyFont="1" applyBorder="1">
      <alignment horizontal="right" indent="1"/>
    </xf>
    <xf numFmtId="0" fontId="17" fillId="0" borderId="13" xfId="0" quotePrefix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quotePrefix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7" fillId="0" borderId="8" xfId="0" applyFont="1" applyBorder="1" applyAlignment="1"/>
    <xf numFmtId="0" fontId="17" fillId="0" borderId="0" xfId="0" applyFont="1" applyBorder="1" applyAlignment="1"/>
    <xf numFmtId="0" fontId="17" fillId="0" borderId="7" xfId="0" applyFont="1" applyBorder="1" applyAlignment="1"/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 vertical="top"/>
    </xf>
    <xf numFmtId="0" fontId="20" fillId="0" borderId="1" xfId="4" applyFont="1" applyBorder="1" applyAlignment="1">
      <alignment horizontal="right" vertical="top" wrapText="1"/>
    </xf>
  </cellXfs>
  <cellStyles count="13">
    <cellStyle name="Акт" xfId="1"/>
    <cellStyle name="ВедРесурсов" xfId="2"/>
    <cellStyle name="Гиперссылка" xfId="3" builtinId="8"/>
    <cellStyle name="Итоги" xfId="4"/>
    <cellStyle name="ЛокСмета" xfId="5"/>
    <cellStyle name="ОбСмета" xfId="6"/>
    <cellStyle name="Обычный" xfId="0" builtinId="0"/>
    <cellStyle name="РесСмета" xfId="7"/>
    <cellStyle name="СводРасч" xfId="8"/>
    <cellStyle name="Список ресурсов" xfId="9"/>
    <cellStyle name="Титул" xfId="10"/>
    <cellStyle name="Титул_Лок.См.Расч.Баз.-Инд.Методом" xfId="11"/>
    <cellStyle name="Хвост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279</xdr:row>
      <xdr:rowOff>0</xdr:rowOff>
    </xdr:from>
    <xdr:to>
      <xdr:col>7</xdr:col>
      <xdr:colOff>304800</xdr:colOff>
      <xdr:row>280</xdr:row>
      <xdr:rowOff>142875</xdr:rowOff>
    </xdr:to>
    <xdr:sp macro="" textlink="">
      <xdr:nvSpPr>
        <xdr:cNvPr id="1118" name="AutoShape 2" descr="Выделение примера в справке."/>
        <xdr:cNvSpPr>
          <a:spLocks noChangeAspect="1" noChangeArrowheads="1"/>
        </xdr:cNvSpPr>
      </xdr:nvSpPr>
      <xdr:spPr bwMode="auto">
        <a:xfrm>
          <a:off x="13515975" y="4609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304800</xdr:colOff>
      <xdr:row>301</xdr:row>
      <xdr:rowOff>171450</xdr:rowOff>
    </xdr:to>
    <xdr:sp macro="" textlink="">
      <xdr:nvSpPr>
        <xdr:cNvPr id="1119" name="AutoShape 3" descr="Токио—Сибуя"/>
        <xdr:cNvSpPr>
          <a:spLocks noChangeAspect="1" noChangeArrowheads="1"/>
        </xdr:cNvSpPr>
      </xdr:nvSpPr>
      <xdr:spPr bwMode="auto">
        <a:xfrm>
          <a:off x="1351597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300</xdr:row>
      <xdr:rowOff>0</xdr:rowOff>
    </xdr:from>
    <xdr:to>
      <xdr:col>8</xdr:col>
      <xdr:colOff>9525</xdr:colOff>
      <xdr:row>301</xdr:row>
      <xdr:rowOff>171450</xdr:rowOff>
    </xdr:to>
    <xdr:sp macro="" textlink="">
      <xdr:nvSpPr>
        <xdr:cNvPr id="1120" name="AutoShape 4" descr="Токио—Сибуя"/>
        <xdr:cNvSpPr>
          <a:spLocks noChangeAspect="1" noChangeArrowheads="1"/>
        </xdr:cNvSpPr>
      </xdr:nvSpPr>
      <xdr:spPr bwMode="auto">
        <a:xfrm>
          <a:off x="13830300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300</xdr:row>
      <xdr:rowOff>0</xdr:rowOff>
    </xdr:from>
    <xdr:to>
      <xdr:col>8</xdr:col>
      <xdr:colOff>323850</xdr:colOff>
      <xdr:row>301</xdr:row>
      <xdr:rowOff>171450</xdr:rowOff>
    </xdr:to>
    <xdr:sp macro="" textlink="">
      <xdr:nvSpPr>
        <xdr:cNvPr id="1121" name="AutoShape 5" descr="Токио—Сибуя"/>
        <xdr:cNvSpPr>
          <a:spLocks noChangeAspect="1" noChangeArrowheads="1"/>
        </xdr:cNvSpPr>
      </xdr:nvSpPr>
      <xdr:spPr bwMode="auto">
        <a:xfrm>
          <a:off x="1414462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304800</xdr:colOff>
      <xdr:row>304</xdr:row>
      <xdr:rowOff>142875</xdr:rowOff>
    </xdr:to>
    <xdr:sp macro="" textlink="">
      <xdr:nvSpPr>
        <xdr:cNvPr id="1122" name="AutoShape 6" descr="Токио—Сибуя"/>
        <xdr:cNvSpPr>
          <a:spLocks noChangeAspect="1" noChangeArrowheads="1"/>
        </xdr:cNvSpPr>
      </xdr:nvSpPr>
      <xdr:spPr bwMode="auto">
        <a:xfrm>
          <a:off x="1351597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303</xdr:row>
      <xdr:rowOff>0</xdr:rowOff>
    </xdr:from>
    <xdr:to>
      <xdr:col>8</xdr:col>
      <xdr:colOff>9525</xdr:colOff>
      <xdr:row>304</xdr:row>
      <xdr:rowOff>142875</xdr:rowOff>
    </xdr:to>
    <xdr:sp macro="" textlink="">
      <xdr:nvSpPr>
        <xdr:cNvPr id="1123" name="AutoShape 7" descr="Токио—Сибуя"/>
        <xdr:cNvSpPr>
          <a:spLocks noChangeAspect="1" noChangeArrowheads="1"/>
        </xdr:cNvSpPr>
      </xdr:nvSpPr>
      <xdr:spPr bwMode="auto">
        <a:xfrm>
          <a:off x="13830300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303</xdr:row>
      <xdr:rowOff>0</xdr:rowOff>
    </xdr:from>
    <xdr:to>
      <xdr:col>8</xdr:col>
      <xdr:colOff>323850</xdr:colOff>
      <xdr:row>304</xdr:row>
      <xdr:rowOff>142875</xdr:rowOff>
    </xdr:to>
    <xdr:sp macro="" textlink="">
      <xdr:nvSpPr>
        <xdr:cNvPr id="1124" name="AutoShape 8" descr="Токио—Сибуя"/>
        <xdr:cNvSpPr>
          <a:spLocks noChangeAspect="1" noChangeArrowheads="1"/>
        </xdr:cNvSpPr>
      </xdr:nvSpPr>
      <xdr:spPr bwMode="auto">
        <a:xfrm>
          <a:off x="1414462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336"/>
  <sheetViews>
    <sheetView showGridLines="0" tabSelected="1" view="pageBreakPreview" zoomScale="104" zoomScaleNormal="104" zoomScaleSheetLayoutView="104" workbookViewId="0">
      <selection activeCell="F16" sqref="F16"/>
    </sheetView>
  </sheetViews>
  <sheetFormatPr defaultColWidth="9.109375" defaultRowHeight="13.2" x14ac:dyDescent="0.25"/>
  <cols>
    <col min="1" max="1" width="4.109375" style="48" customWidth="1"/>
    <col min="2" max="2" width="16.44140625" style="48" customWidth="1"/>
    <col min="3" max="3" width="29.6640625" style="48" customWidth="1"/>
    <col min="4" max="4" width="9.21875" style="48" customWidth="1"/>
    <col min="5" max="5" width="10.5546875" style="49" customWidth="1"/>
    <col min="6" max="6" width="10.44140625" style="49" customWidth="1"/>
    <col min="7" max="7" width="9.88671875" style="49" customWidth="1"/>
    <col min="8" max="8" width="20.33203125" style="49" customWidth="1"/>
    <col min="9" max="9" width="9.44140625" style="49" customWidth="1"/>
    <col min="10" max="10" width="8.109375" style="49" customWidth="1"/>
    <col min="11" max="11" width="10.109375" style="49" customWidth="1"/>
    <col min="12" max="12" width="9.88671875" style="49" customWidth="1"/>
    <col min="13" max="13" width="7.44140625" style="49" customWidth="1"/>
    <col min="14" max="14" width="6.88671875" style="47" customWidth="1"/>
    <col min="15" max="15" width="9.109375" style="47"/>
    <col min="16" max="16" width="19.6640625" style="47" customWidth="1"/>
    <col min="17" max="16384" width="9.109375" style="47"/>
  </cols>
  <sheetData>
    <row r="1" spans="1:20" s="11" customFormat="1" x14ac:dyDescent="0.25">
      <c r="A1" s="118" t="s">
        <v>1093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96"/>
      <c r="P1" s="96"/>
      <c r="Q1" s="96"/>
      <c r="R1" s="96"/>
      <c r="S1" s="96"/>
      <c r="T1" s="96"/>
    </row>
    <row r="2" spans="1:20" s="11" customFormat="1" x14ac:dyDescent="0.25">
      <c r="A2" s="109"/>
      <c r="B2" s="106"/>
      <c r="C2" s="103"/>
      <c r="D2" s="108"/>
      <c r="E2" s="112"/>
      <c r="F2" s="113" t="s">
        <v>81</v>
      </c>
      <c r="G2" s="113"/>
      <c r="H2" s="103"/>
      <c r="I2" s="104"/>
      <c r="J2" s="109"/>
      <c r="K2" s="109"/>
      <c r="L2" s="109"/>
      <c r="M2" s="102"/>
      <c r="N2" s="103"/>
      <c r="O2" s="96"/>
      <c r="P2" s="96"/>
      <c r="Q2" s="96"/>
      <c r="R2" s="96"/>
      <c r="S2" s="96"/>
      <c r="T2" s="96"/>
    </row>
    <row r="3" spans="1:20" s="11" customFormat="1" x14ac:dyDescent="0.25">
      <c r="A3" s="109" t="s">
        <v>296</v>
      </c>
      <c r="B3" s="106"/>
      <c r="C3" s="103"/>
      <c r="D3" s="108"/>
      <c r="E3" s="107"/>
      <c r="F3" s="105"/>
      <c r="G3" s="105"/>
      <c r="H3" s="103"/>
      <c r="I3" s="104"/>
      <c r="J3" s="119" t="s">
        <v>297</v>
      </c>
      <c r="K3" s="119"/>
      <c r="L3" s="109"/>
      <c r="M3" s="102"/>
      <c r="N3" s="103"/>
      <c r="O3" s="96"/>
      <c r="P3" s="96"/>
      <c r="Q3" s="96"/>
      <c r="R3" s="96"/>
      <c r="S3" s="96"/>
      <c r="T3" s="96"/>
    </row>
    <row r="4" spans="1:20" s="11" customFormat="1" x14ac:dyDescent="0.25">
      <c r="A4" s="109" t="s">
        <v>298</v>
      </c>
      <c r="B4" s="103"/>
      <c r="C4" s="103"/>
      <c r="D4" s="103"/>
      <c r="E4" s="102"/>
      <c r="F4" s="102"/>
      <c r="G4" s="102"/>
      <c r="H4" s="102"/>
      <c r="I4" s="102"/>
      <c r="J4" s="119" t="s">
        <v>6</v>
      </c>
      <c r="K4" s="119"/>
      <c r="L4" s="109"/>
      <c r="M4" s="102"/>
      <c r="N4" s="103"/>
      <c r="O4" s="96"/>
      <c r="P4" s="96"/>
      <c r="Q4" s="96"/>
      <c r="R4" s="96"/>
      <c r="S4" s="96"/>
      <c r="T4" s="96"/>
    </row>
    <row r="5" spans="1:20" s="11" customFormat="1" x14ac:dyDescent="0.25">
      <c r="A5" s="102"/>
      <c r="B5" s="102"/>
      <c r="C5" s="102"/>
      <c r="D5" s="103"/>
      <c r="E5" s="107"/>
      <c r="F5" s="110" t="s">
        <v>1094</v>
      </c>
      <c r="G5" s="102"/>
      <c r="H5" s="103"/>
      <c r="I5" s="102"/>
      <c r="J5" s="119" t="s">
        <v>1095</v>
      </c>
      <c r="K5" s="119"/>
      <c r="L5" s="119"/>
      <c r="M5" s="119"/>
      <c r="N5" s="119"/>
      <c r="O5" s="96"/>
      <c r="P5" s="96"/>
      <c r="Q5" s="96"/>
      <c r="R5" s="96"/>
      <c r="S5" s="96"/>
      <c r="T5" s="96"/>
    </row>
    <row r="6" spans="1:20" s="11" customFormat="1" x14ac:dyDescent="0.25">
      <c r="A6" s="102"/>
      <c r="B6" s="102"/>
      <c r="C6" s="102"/>
      <c r="D6" s="103"/>
      <c r="E6" s="107"/>
      <c r="F6" s="102" t="s">
        <v>82</v>
      </c>
      <c r="G6" s="102"/>
      <c r="H6" s="103"/>
      <c r="I6" s="102"/>
      <c r="J6" s="119" t="s">
        <v>1096</v>
      </c>
      <c r="K6" s="119"/>
      <c r="L6" s="119"/>
      <c r="M6" s="119"/>
      <c r="N6" s="119"/>
      <c r="O6" s="96"/>
      <c r="P6" s="96"/>
      <c r="Q6" s="96"/>
      <c r="R6" s="96"/>
      <c r="S6" s="96"/>
      <c r="T6" s="96"/>
    </row>
    <row r="7" spans="1:20" s="11" customFormat="1" x14ac:dyDescent="0.25">
      <c r="A7" s="102"/>
      <c r="B7" s="102"/>
      <c r="C7" s="102"/>
      <c r="D7" s="103"/>
      <c r="E7" s="107"/>
      <c r="F7" s="102"/>
      <c r="G7" s="102"/>
      <c r="H7" s="103"/>
      <c r="I7" s="102"/>
      <c r="J7" s="119" t="s">
        <v>1097</v>
      </c>
      <c r="K7" s="119"/>
      <c r="L7" s="119"/>
      <c r="M7" s="119"/>
      <c r="N7" s="119"/>
      <c r="O7" s="96"/>
      <c r="P7" s="96"/>
      <c r="Q7" s="96"/>
      <c r="R7" s="96"/>
      <c r="S7" s="96"/>
      <c r="T7" s="96"/>
    </row>
    <row r="8" spans="1:20" s="11" customFormat="1" x14ac:dyDescent="0.25">
      <c r="A8" s="102"/>
      <c r="B8" s="102"/>
      <c r="C8" s="102"/>
      <c r="D8" s="103"/>
      <c r="E8" s="102"/>
      <c r="F8" s="102"/>
      <c r="G8" s="102"/>
      <c r="H8" s="102"/>
      <c r="I8" s="102"/>
      <c r="J8" s="119" t="s">
        <v>1098</v>
      </c>
      <c r="K8" s="119"/>
      <c r="L8" s="119"/>
      <c r="M8" s="119"/>
      <c r="N8" s="119"/>
      <c r="O8" s="96"/>
      <c r="P8" s="96"/>
      <c r="Q8" s="96"/>
      <c r="R8" s="96"/>
      <c r="S8" s="96"/>
      <c r="T8" s="96"/>
    </row>
    <row r="9" spans="1:20" s="11" customFormat="1" x14ac:dyDescent="0.25">
      <c r="A9" s="102"/>
      <c r="B9" s="102"/>
      <c r="C9" s="102"/>
      <c r="D9" s="103"/>
      <c r="E9" s="102"/>
      <c r="F9" s="102"/>
      <c r="G9" s="102"/>
      <c r="H9" s="102"/>
      <c r="I9" s="102"/>
      <c r="J9" s="109"/>
      <c r="K9" s="109"/>
      <c r="L9" s="109"/>
      <c r="M9" s="109"/>
      <c r="N9" s="109"/>
      <c r="O9" s="96"/>
      <c r="P9" s="96"/>
      <c r="Q9" s="96"/>
      <c r="R9" s="96"/>
      <c r="S9" s="96"/>
      <c r="T9" s="96"/>
    </row>
    <row r="10" spans="1:20" s="11" customFormat="1" ht="24.75" customHeight="1" x14ac:dyDescent="0.25">
      <c r="A10" s="102"/>
      <c r="B10" s="102"/>
      <c r="C10" s="111"/>
      <c r="D10" s="120" t="s">
        <v>1099</v>
      </c>
      <c r="E10" s="120"/>
      <c r="F10" s="120"/>
      <c r="G10" s="120"/>
      <c r="H10" s="120"/>
      <c r="I10" s="120"/>
      <c r="J10" s="120"/>
      <c r="K10" s="120"/>
      <c r="L10" s="120"/>
      <c r="M10" s="102"/>
      <c r="N10" s="103"/>
      <c r="O10" s="96"/>
      <c r="P10" s="96"/>
      <c r="Q10" s="96"/>
      <c r="R10" s="96"/>
      <c r="S10" s="96"/>
      <c r="T10" s="96"/>
    </row>
    <row r="11" spans="1:20" s="11" customFormat="1" x14ac:dyDescent="0.25">
      <c r="A11" s="59"/>
      <c r="B11" s="59"/>
      <c r="C11" s="59"/>
      <c r="D11" s="114" t="s">
        <v>312</v>
      </c>
      <c r="E11" s="113"/>
      <c r="F11" s="113"/>
      <c r="G11" s="113"/>
      <c r="H11" s="115"/>
      <c r="I11" s="61"/>
      <c r="J11" s="61"/>
      <c r="K11" s="61"/>
      <c r="L11" s="61"/>
      <c r="M11" s="59"/>
      <c r="N11" s="60"/>
    </row>
    <row r="12" spans="1:20" s="11" customFormat="1" ht="7.5" customHeight="1" x14ac:dyDescent="0.25">
      <c r="A12" s="62"/>
      <c r="B12" s="62"/>
      <c r="C12" s="59"/>
      <c r="D12" s="60"/>
      <c r="E12" s="59"/>
      <c r="F12" s="59"/>
      <c r="G12" s="59"/>
      <c r="H12" s="59"/>
      <c r="I12" s="59"/>
      <c r="J12" s="59"/>
      <c r="K12" s="60"/>
      <c r="L12" s="60"/>
      <c r="M12" s="59"/>
      <c r="N12" s="60"/>
    </row>
    <row r="13" spans="1:20" x14ac:dyDescent="0.25">
      <c r="A13" s="132" t="s">
        <v>1100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20" x14ac:dyDescent="0.25">
      <c r="A14" s="63" t="s">
        <v>301</v>
      </c>
      <c r="B14" s="64"/>
      <c r="C14" s="134">
        <v>8970592</v>
      </c>
      <c r="D14" s="134"/>
      <c r="E14" s="134"/>
      <c r="F14" s="65" t="s">
        <v>300</v>
      </c>
      <c r="G14" s="66"/>
      <c r="H14" s="66"/>
      <c r="I14" s="66"/>
      <c r="J14" s="66"/>
      <c r="K14" s="67"/>
      <c r="L14" s="67"/>
      <c r="M14" s="67"/>
      <c r="N14" s="68"/>
    </row>
    <row r="15" spans="1:20" x14ac:dyDescent="0.25">
      <c r="A15" s="63" t="s">
        <v>311</v>
      </c>
      <c r="B15" s="64"/>
      <c r="C15" s="69"/>
      <c r="D15" s="135">
        <v>1184477</v>
      </c>
      <c r="E15" s="135"/>
      <c r="F15" s="65" t="s">
        <v>300</v>
      </c>
      <c r="G15" s="66"/>
      <c r="H15" s="154" t="s">
        <v>1103</v>
      </c>
      <c r="I15" s="154"/>
      <c r="J15" s="154"/>
      <c r="K15" s="154"/>
      <c r="L15" s="154"/>
      <c r="M15" s="154"/>
      <c r="N15" s="68"/>
    </row>
    <row r="16" spans="1:20" x14ac:dyDescent="0.25">
      <c r="A16" s="99" t="s">
        <v>1101</v>
      </c>
      <c r="B16" s="68"/>
      <c r="C16" s="70"/>
      <c r="D16" s="71"/>
      <c r="E16" s="72"/>
      <c r="F16" s="73"/>
      <c r="G16" s="74"/>
      <c r="H16" s="74"/>
      <c r="I16" s="66"/>
      <c r="J16" s="66"/>
      <c r="K16" s="67"/>
      <c r="L16" s="67"/>
      <c r="M16" s="67"/>
      <c r="N16" s="68"/>
    </row>
    <row r="17" spans="1:20" ht="11.25" customHeight="1" x14ac:dyDescent="0.25">
      <c r="A17" s="75"/>
      <c r="B17" s="65"/>
      <c r="C17" s="65"/>
      <c r="D17" s="75"/>
      <c r="E17" s="66"/>
      <c r="F17" s="66"/>
      <c r="G17" s="66"/>
      <c r="H17" s="69"/>
      <c r="I17" s="66"/>
      <c r="J17" s="66"/>
      <c r="K17" s="66"/>
      <c r="L17" s="66"/>
      <c r="M17" s="66"/>
      <c r="N17" s="68" t="s">
        <v>300</v>
      </c>
    </row>
    <row r="18" spans="1:20" ht="12.75" customHeight="1" x14ac:dyDescent="0.25">
      <c r="A18" s="150" t="s">
        <v>83</v>
      </c>
      <c r="B18" s="150" t="s">
        <v>308</v>
      </c>
      <c r="C18" s="136" t="s">
        <v>313</v>
      </c>
      <c r="D18" s="136" t="s">
        <v>309</v>
      </c>
      <c r="E18" s="142" t="s">
        <v>314</v>
      </c>
      <c r="F18" s="143"/>
      <c r="G18" s="144"/>
      <c r="H18" s="136" t="s">
        <v>295</v>
      </c>
      <c r="I18" s="142" t="s">
        <v>315</v>
      </c>
      <c r="J18" s="148"/>
      <c r="K18" s="148"/>
      <c r="L18" s="139"/>
      <c r="M18" s="138" t="s">
        <v>310</v>
      </c>
      <c r="N18" s="139"/>
    </row>
    <row r="19" spans="1:20" s="50" customFormat="1" ht="38.25" customHeight="1" x14ac:dyDescent="0.25">
      <c r="A19" s="151"/>
      <c r="B19" s="151"/>
      <c r="C19" s="151"/>
      <c r="D19" s="151"/>
      <c r="E19" s="145"/>
      <c r="F19" s="146"/>
      <c r="G19" s="147"/>
      <c r="H19" s="151"/>
      <c r="I19" s="140"/>
      <c r="J19" s="149"/>
      <c r="K19" s="149"/>
      <c r="L19" s="141"/>
      <c r="M19" s="140"/>
      <c r="N19" s="141"/>
    </row>
    <row r="20" spans="1:20" s="50" customFormat="1" ht="12.75" customHeight="1" x14ac:dyDescent="0.25">
      <c r="A20" s="151"/>
      <c r="B20" s="151"/>
      <c r="C20" s="151"/>
      <c r="D20" s="151"/>
      <c r="E20" s="80" t="s">
        <v>303</v>
      </c>
      <c r="F20" s="80" t="s">
        <v>305</v>
      </c>
      <c r="G20" s="136" t="s">
        <v>307</v>
      </c>
      <c r="H20" s="151"/>
      <c r="I20" s="136" t="s">
        <v>303</v>
      </c>
      <c r="J20" s="136" t="s">
        <v>306</v>
      </c>
      <c r="K20" s="80" t="s">
        <v>305</v>
      </c>
      <c r="L20" s="136" t="s">
        <v>307</v>
      </c>
      <c r="M20" s="150" t="s">
        <v>299</v>
      </c>
      <c r="N20" s="136" t="s">
        <v>303</v>
      </c>
    </row>
    <row r="21" spans="1:20" s="50" customFormat="1" ht="11.25" customHeight="1" x14ac:dyDescent="0.25">
      <c r="A21" s="137"/>
      <c r="B21" s="137"/>
      <c r="C21" s="137"/>
      <c r="D21" s="137"/>
      <c r="E21" s="81" t="s">
        <v>302</v>
      </c>
      <c r="F21" s="80" t="s">
        <v>304</v>
      </c>
      <c r="G21" s="137"/>
      <c r="H21" s="137"/>
      <c r="I21" s="137"/>
      <c r="J21" s="137"/>
      <c r="K21" s="80" t="s">
        <v>304</v>
      </c>
      <c r="L21" s="137"/>
      <c r="M21" s="137"/>
      <c r="N21" s="137"/>
    </row>
    <row r="22" spans="1:20" x14ac:dyDescent="0.25">
      <c r="A22" s="82">
        <v>1</v>
      </c>
      <c r="B22" s="82">
        <v>2</v>
      </c>
      <c r="C22" s="82">
        <v>3</v>
      </c>
      <c r="D22" s="82">
        <v>4</v>
      </c>
      <c r="E22" s="82">
        <v>5</v>
      </c>
      <c r="F22" s="82">
        <v>6</v>
      </c>
      <c r="G22" s="82">
        <v>7</v>
      </c>
      <c r="H22" s="82">
        <v>8</v>
      </c>
      <c r="I22" s="82">
        <v>9</v>
      </c>
      <c r="J22" s="82">
        <v>10</v>
      </c>
      <c r="K22" s="82">
        <v>11</v>
      </c>
      <c r="L22" s="82">
        <v>12</v>
      </c>
      <c r="M22" s="82">
        <v>13</v>
      </c>
      <c r="N22" s="82">
        <v>14</v>
      </c>
      <c r="O22" s="51"/>
      <c r="P22" s="51"/>
      <c r="Q22" s="51"/>
      <c r="R22" s="51"/>
      <c r="S22" s="51"/>
      <c r="T22" s="51"/>
    </row>
    <row r="23" spans="1:20" ht="17.850000000000001" customHeight="1" x14ac:dyDescent="0.25">
      <c r="A23" s="130" t="s">
        <v>317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</row>
    <row r="24" spans="1:20" ht="17.850000000000001" customHeight="1" x14ac:dyDescent="0.25">
      <c r="A24" s="126" t="s">
        <v>318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20" ht="57" x14ac:dyDescent="0.25">
      <c r="A25" s="83">
        <v>1</v>
      </c>
      <c r="B25" s="84" t="s">
        <v>319</v>
      </c>
      <c r="C25" s="84" t="s">
        <v>320</v>
      </c>
      <c r="D25" s="83">
        <v>5.12</v>
      </c>
      <c r="E25" s="85" t="s">
        <v>321</v>
      </c>
      <c r="F25" s="85" t="s">
        <v>322</v>
      </c>
      <c r="G25" s="85"/>
      <c r="H25" s="86" t="s">
        <v>323</v>
      </c>
      <c r="I25" s="87">
        <v>77553</v>
      </c>
      <c r="J25" s="85">
        <v>74907</v>
      </c>
      <c r="K25" s="85" t="s">
        <v>324</v>
      </c>
      <c r="L25" s="85" t="str">
        <f>IF(5.12*0=0," ",TEXT(,ROUND((5.12*0*1),2)))</f>
        <v xml:space="preserve"> </v>
      </c>
      <c r="M25" s="85" t="s">
        <v>325</v>
      </c>
      <c r="N25" s="85" t="s">
        <v>326</v>
      </c>
    </row>
    <row r="26" spans="1:20" ht="102.6" x14ac:dyDescent="0.25">
      <c r="A26" s="83">
        <v>2</v>
      </c>
      <c r="B26" s="84" t="s">
        <v>327</v>
      </c>
      <c r="C26" s="84" t="s">
        <v>328</v>
      </c>
      <c r="D26" s="83">
        <v>1.82</v>
      </c>
      <c r="E26" s="85" t="s">
        <v>329</v>
      </c>
      <c r="F26" s="85">
        <v>16.32</v>
      </c>
      <c r="G26" s="85">
        <v>30.33</v>
      </c>
      <c r="H26" s="86" t="s">
        <v>330</v>
      </c>
      <c r="I26" s="87">
        <v>17924</v>
      </c>
      <c r="J26" s="85">
        <v>17133</v>
      </c>
      <c r="K26" s="85">
        <v>528</v>
      </c>
      <c r="L26" s="85" t="str">
        <f>IF(1.82*30.33=0," ",TEXT(,ROUND((1.82*30.33*4.78),2)))</f>
        <v>263,86</v>
      </c>
      <c r="M26" s="85">
        <v>65.3</v>
      </c>
      <c r="N26" s="85">
        <v>118.85</v>
      </c>
    </row>
    <row r="27" spans="1:20" ht="102.6" x14ac:dyDescent="0.25">
      <c r="A27" s="83">
        <v>3</v>
      </c>
      <c r="B27" s="84" t="s">
        <v>331</v>
      </c>
      <c r="C27" s="84" t="s">
        <v>332</v>
      </c>
      <c r="D27" s="83">
        <v>37.869999999999997</v>
      </c>
      <c r="E27" s="85" t="s">
        <v>333</v>
      </c>
      <c r="F27" s="85">
        <v>6.54</v>
      </c>
      <c r="G27" s="85">
        <v>12.56</v>
      </c>
      <c r="H27" s="86" t="s">
        <v>334</v>
      </c>
      <c r="I27" s="87">
        <v>244703</v>
      </c>
      <c r="J27" s="85">
        <v>238024</v>
      </c>
      <c r="K27" s="85">
        <v>4401</v>
      </c>
      <c r="L27" s="85" t="str">
        <f>IF(37.87*12.56=0," ",TEXT(,ROUND((37.87*12.56*4.79),2)))</f>
        <v>2278,35</v>
      </c>
      <c r="M27" s="85">
        <v>43.6</v>
      </c>
      <c r="N27" s="85">
        <v>1651.13</v>
      </c>
    </row>
    <row r="28" spans="1:20" ht="17.850000000000001" customHeight="1" x14ac:dyDescent="0.25">
      <c r="A28" s="126" t="s">
        <v>335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20" ht="148.19999999999999" x14ac:dyDescent="0.25">
      <c r="A29" s="83">
        <v>4</v>
      </c>
      <c r="B29" s="84" t="s">
        <v>336</v>
      </c>
      <c r="C29" s="84" t="s">
        <v>337</v>
      </c>
      <c r="D29" s="83">
        <v>1.3</v>
      </c>
      <c r="E29" s="85" t="s">
        <v>338</v>
      </c>
      <c r="F29" s="85" t="s">
        <v>339</v>
      </c>
      <c r="G29" s="85">
        <v>8009.94</v>
      </c>
      <c r="H29" s="86" t="s">
        <v>340</v>
      </c>
      <c r="I29" s="87">
        <v>77088</v>
      </c>
      <c r="J29" s="85">
        <v>19666</v>
      </c>
      <c r="K29" s="85" t="s">
        <v>341</v>
      </c>
      <c r="L29" s="85" t="str">
        <f>IF(1.3*8009.94=0," ",TEXT(,ROUND((1.3*8009.94*5.11),2)))</f>
        <v>53210,03</v>
      </c>
      <c r="M29" s="85" t="s">
        <v>342</v>
      </c>
      <c r="N29" s="85" t="s">
        <v>343</v>
      </c>
    </row>
    <row r="30" spans="1:20" ht="148.19999999999999" x14ac:dyDescent="0.25">
      <c r="A30" s="83">
        <v>5</v>
      </c>
      <c r="B30" s="84" t="s">
        <v>344</v>
      </c>
      <c r="C30" s="84" t="s">
        <v>345</v>
      </c>
      <c r="D30" s="83">
        <v>1.1040000000000001</v>
      </c>
      <c r="E30" s="85" t="s">
        <v>346</v>
      </c>
      <c r="F30" s="85" t="s">
        <v>339</v>
      </c>
      <c r="G30" s="85">
        <v>6240.25</v>
      </c>
      <c r="H30" s="86" t="s">
        <v>347</v>
      </c>
      <c r="I30" s="87">
        <v>55275</v>
      </c>
      <c r="J30" s="85">
        <v>16701</v>
      </c>
      <c r="K30" s="85" t="s">
        <v>348</v>
      </c>
      <c r="L30" s="85" t="str">
        <f>IF(1.104*6240.25=0," ",TEXT(,ROUND((1.104*6240.25*5.08),2)))</f>
        <v>34997,32</v>
      </c>
      <c r="M30" s="85" t="s">
        <v>342</v>
      </c>
      <c r="N30" s="85" t="s">
        <v>349</v>
      </c>
    </row>
    <row r="31" spans="1:20" ht="148.19999999999999" x14ac:dyDescent="0.25">
      <c r="A31" s="83">
        <v>6</v>
      </c>
      <c r="B31" s="84" t="s">
        <v>350</v>
      </c>
      <c r="C31" s="84" t="s">
        <v>351</v>
      </c>
      <c r="D31" s="83">
        <v>1.39</v>
      </c>
      <c r="E31" s="85" t="s">
        <v>352</v>
      </c>
      <c r="F31" s="85" t="s">
        <v>353</v>
      </c>
      <c r="G31" s="85">
        <v>5353.21</v>
      </c>
      <c r="H31" s="86" t="s">
        <v>354</v>
      </c>
      <c r="I31" s="87">
        <v>59851</v>
      </c>
      <c r="J31" s="85">
        <v>19026</v>
      </c>
      <c r="K31" s="85" t="s">
        <v>355</v>
      </c>
      <c r="L31" s="85" t="str">
        <f>IF(1.39*5353.21=0," ",TEXT(,ROUND((1.39*5353.21*5.06),2)))</f>
        <v>37651,27</v>
      </c>
      <c r="M31" s="85" t="s">
        <v>356</v>
      </c>
      <c r="N31" s="85" t="s">
        <v>357</v>
      </c>
    </row>
    <row r="32" spans="1:20" ht="148.19999999999999" x14ac:dyDescent="0.25">
      <c r="A32" s="83">
        <v>7</v>
      </c>
      <c r="B32" s="84" t="s">
        <v>358</v>
      </c>
      <c r="C32" s="84" t="s">
        <v>359</v>
      </c>
      <c r="D32" s="83">
        <v>1.18</v>
      </c>
      <c r="E32" s="85" t="s">
        <v>360</v>
      </c>
      <c r="F32" s="85" t="s">
        <v>361</v>
      </c>
      <c r="G32" s="85">
        <v>4156.74</v>
      </c>
      <c r="H32" s="86" t="s">
        <v>362</v>
      </c>
      <c r="I32" s="87">
        <v>39520</v>
      </c>
      <c r="J32" s="85">
        <v>13616</v>
      </c>
      <c r="K32" s="85" t="s">
        <v>363</v>
      </c>
      <c r="L32" s="85" t="str">
        <f>IF(1.18*4156.74=0," ",TEXT(,ROUND((1.18*4156.74*4.83),2)))</f>
        <v>23690,92</v>
      </c>
      <c r="M32" s="85" t="s">
        <v>364</v>
      </c>
      <c r="N32" s="85" t="s">
        <v>365</v>
      </c>
    </row>
    <row r="33" spans="1:14" ht="148.19999999999999" x14ac:dyDescent="0.25">
      <c r="A33" s="83">
        <v>8</v>
      </c>
      <c r="B33" s="84" t="s">
        <v>366</v>
      </c>
      <c r="C33" s="84" t="s">
        <v>367</v>
      </c>
      <c r="D33" s="83">
        <v>0.77</v>
      </c>
      <c r="E33" s="85" t="s">
        <v>368</v>
      </c>
      <c r="F33" s="85" t="s">
        <v>369</v>
      </c>
      <c r="G33" s="85">
        <v>2855.5</v>
      </c>
      <c r="H33" s="86" t="s">
        <v>370</v>
      </c>
      <c r="I33" s="87">
        <v>19659</v>
      </c>
      <c r="J33" s="85">
        <v>4746</v>
      </c>
      <c r="K33" s="85" t="s">
        <v>371</v>
      </c>
      <c r="L33" s="85" t="str">
        <f>IF(0.77*2855.5=0," ",TEXT(,ROUND((0.77*2855.5*6.54),2)))</f>
        <v>14379,73</v>
      </c>
      <c r="M33" s="85" t="s">
        <v>372</v>
      </c>
      <c r="N33" s="85" t="s">
        <v>373</v>
      </c>
    </row>
    <row r="34" spans="1:14" ht="148.19999999999999" x14ac:dyDescent="0.25">
      <c r="A34" s="83">
        <v>9</v>
      </c>
      <c r="B34" s="84" t="s">
        <v>374</v>
      </c>
      <c r="C34" s="84" t="s">
        <v>375</v>
      </c>
      <c r="D34" s="83">
        <v>5.01</v>
      </c>
      <c r="E34" s="85" t="s">
        <v>376</v>
      </c>
      <c r="F34" s="85" t="s">
        <v>369</v>
      </c>
      <c r="G34" s="85">
        <v>3089.96</v>
      </c>
      <c r="H34" s="86" t="s">
        <v>377</v>
      </c>
      <c r="I34" s="87">
        <v>114543</v>
      </c>
      <c r="J34" s="85">
        <v>30883</v>
      </c>
      <c r="K34" s="85" t="s">
        <v>378</v>
      </c>
      <c r="L34" s="85" t="str">
        <f>IF(5.01*3089.96=0," ",TEXT(,ROUND((5.01*3089.96*5.18),2)))</f>
        <v>80190,02</v>
      </c>
      <c r="M34" s="85" t="s">
        <v>372</v>
      </c>
      <c r="N34" s="85" t="s">
        <v>379</v>
      </c>
    </row>
    <row r="35" spans="1:14" ht="148.19999999999999" x14ac:dyDescent="0.25">
      <c r="A35" s="83">
        <v>10</v>
      </c>
      <c r="B35" s="84" t="s">
        <v>380</v>
      </c>
      <c r="C35" s="84" t="s">
        <v>381</v>
      </c>
      <c r="D35" s="83">
        <v>0.96</v>
      </c>
      <c r="E35" s="85" t="s">
        <v>382</v>
      </c>
      <c r="F35" s="85" t="s">
        <v>369</v>
      </c>
      <c r="G35" s="85">
        <v>2578.88</v>
      </c>
      <c r="H35" s="86" t="s">
        <v>383</v>
      </c>
      <c r="I35" s="87">
        <v>20125</v>
      </c>
      <c r="J35" s="85">
        <v>5918</v>
      </c>
      <c r="K35" s="85" t="s">
        <v>384</v>
      </c>
      <c r="L35" s="85" t="str">
        <f>IF(0.96*2578.88=0," ",TEXT(,ROUND((0.96*2578.88*5.47),2)))</f>
        <v>13542,21</v>
      </c>
      <c r="M35" s="85" t="s">
        <v>372</v>
      </c>
      <c r="N35" s="85" t="s">
        <v>385</v>
      </c>
    </row>
    <row r="36" spans="1:14" ht="148.19999999999999" x14ac:dyDescent="0.25">
      <c r="A36" s="83">
        <v>11</v>
      </c>
      <c r="B36" s="84" t="s">
        <v>386</v>
      </c>
      <c r="C36" s="84" t="s">
        <v>387</v>
      </c>
      <c r="D36" s="83">
        <v>46</v>
      </c>
      <c r="E36" s="85" t="s">
        <v>388</v>
      </c>
      <c r="F36" s="85" t="s">
        <v>369</v>
      </c>
      <c r="G36" s="85">
        <v>2366.27</v>
      </c>
      <c r="H36" s="86" t="s">
        <v>389</v>
      </c>
      <c r="I36" s="87">
        <v>858567</v>
      </c>
      <c r="J36" s="85">
        <v>283553</v>
      </c>
      <c r="K36" s="85" t="s">
        <v>390</v>
      </c>
      <c r="L36" s="85" t="str">
        <f>IF(46*2366.27=0," ",TEXT(,ROUND((46*2366.27*4.99),2)))</f>
        <v>543153,62</v>
      </c>
      <c r="M36" s="85" t="s">
        <v>372</v>
      </c>
      <c r="N36" s="85" t="s">
        <v>391</v>
      </c>
    </row>
    <row r="37" spans="1:14" ht="148.19999999999999" x14ac:dyDescent="0.25">
      <c r="A37" s="83">
        <v>12</v>
      </c>
      <c r="B37" s="84" t="s">
        <v>392</v>
      </c>
      <c r="C37" s="84" t="s">
        <v>393</v>
      </c>
      <c r="D37" s="83">
        <v>3.48</v>
      </c>
      <c r="E37" s="85" t="s">
        <v>394</v>
      </c>
      <c r="F37" s="85" t="s">
        <v>369</v>
      </c>
      <c r="G37" s="85">
        <v>1988.81</v>
      </c>
      <c r="H37" s="86" t="s">
        <v>395</v>
      </c>
      <c r="I37" s="87">
        <v>59436</v>
      </c>
      <c r="J37" s="85">
        <v>21451</v>
      </c>
      <c r="K37" s="85" t="s">
        <v>396</v>
      </c>
      <c r="L37" s="85" t="str">
        <f>IF(3.48*1988.81=0," ",TEXT(,ROUND((3.48*1988.81*5.14),2)))</f>
        <v>35574,24</v>
      </c>
      <c r="M37" s="85" t="s">
        <v>372</v>
      </c>
      <c r="N37" s="85" t="s">
        <v>397</v>
      </c>
    </row>
    <row r="38" spans="1:14" ht="159.6" x14ac:dyDescent="0.25">
      <c r="A38" s="83">
        <v>13</v>
      </c>
      <c r="B38" s="84" t="s">
        <v>398</v>
      </c>
      <c r="C38" s="84" t="s">
        <v>399</v>
      </c>
      <c r="D38" s="83">
        <v>3.794</v>
      </c>
      <c r="E38" s="85" t="s">
        <v>400</v>
      </c>
      <c r="F38" s="85">
        <v>55.64</v>
      </c>
      <c r="G38" s="85">
        <v>11.11</v>
      </c>
      <c r="H38" s="86" t="s">
        <v>401</v>
      </c>
      <c r="I38" s="87">
        <v>4870</v>
      </c>
      <c r="J38" s="85">
        <v>4300</v>
      </c>
      <c r="K38" s="85">
        <v>152</v>
      </c>
      <c r="L38" s="85" t="str">
        <f>IF(3.794*11.11=0," ",TEXT(,ROUND((3.794*11.11*9.91),2)))</f>
        <v>417,72</v>
      </c>
      <c r="M38" s="85">
        <v>5.76</v>
      </c>
      <c r="N38" s="85">
        <v>21.85</v>
      </c>
    </row>
    <row r="39" spans="1:14" ht="159.6" x14ac:dyDescent="0.25">
      <c r="A39" s="83">
        <v>14</v>
      </c>
      <c r="B39" s="84" t="s">
        <v>402</v>
      </c>
      <c r="C39" s="84" t="s">
        <v>403</v>
      </c>
      <c r="D39" s="83">
        <v>57.4</v>
      </c>
      <c r="E39" s="85" t="s">
        <v>404</v>
      </c>
      <c r="F39" s="85">
        <v>55.64</v>
      </c>
      <c r="G39" s="85">
        <v>4.28</v>
      </c>
      <c r="H39" s="86" t="s">
        <v>405</v>
      </c>
      <c r="I39" s="87">
        <v>69180</v>
      </c>
      <c r="J39" s="85">
        <v>65060</v>
      </c>
      <c r="K39" s="85">
        <v>2299</v>
      </c>
      <c r="L39" s="85" t="str">
        <f>IF(57.4*4.28=0," ",TEXT(,ROUND((57.4*4.28*7.41),2)))</f>
        <v>1820,43</v>
      </c>
      <c r="M39" s="85">
        <v>5.76</v>
      </c>
      <c r="N39" s="85">
        <v>330.62</v>
      </c>
    </row>
    <row r="40" spans="1:14" ht="57" x14ac:dyDescent="0.25">
      <c r="A40" s="83">
        <v>15</v>
      </c>
      <c r="B40" s="84" t="s">
        <v>406</v>
      </c>
      <c r="C40" s="84" t="s">
        <v>407</v>
      </c>
      <c r="D40" s="83">
        <v>800</v>
      </c>
      <c r="E40" s="85">
        <v>11.99</v>
      </c>
      <c r="F40" s="85"/>
      <c r="G40" s="85">
        <v>11.99</v>
      </c>
      <c r="H40" s="86" t="s">
        <v>408</v>
      </c>
      <c r="I40" s="87">
        <v>31488</v>
      </c>
      <c r="J40" s="85"/>
      <c r="K40" s="85"/>
      <c r="L40" s="85" t="str">
        <f>IF(800*11.99=0," ",TEXT(,ROUND((800*11.99*3.283),2)))</f>
        <v>31490,54</v>
      </c>
      <c r="M40" s="85"/>
      <c r="N40" s="85"/>
    </row>
    <row r="41" spans="1:14" ht="57" x14ac:dyDescent="0.25">
      <c r="A41" s="83">
        <v>16</v>
      </c>
      <c r="B41" s="84" t="s">
        <v>409</v>
      </c>
      <c r="C41" s="84" t="s">
        <v>410</v>
      </c>
      <c r="D41" s="83">
        <v>32</v>
      </c>
      <c r="E41" s="85">
        <v>44.2</v>
      </c>
      <c r="F41" s="85"/>
      <c r="G41" s="85">
        <v>44.2</v>
      </c>
      <c r="H41" s="86" t="s">
        <v>411</v>
      </c>
      <c r="I41" s="87">
        <v>7864</v>
      </c>
      <c r="J41" s="85"/>
      <c r="K41" s="85"/>
      <c r="L41" s="85" t="str">
        <f>IF(32*44.2=0," ",TEXT(,ROUND((32*44.2*5.56),2)))</f>
        <v>7864,06</v>
      </c>
      <c r="M41" s="85"/>
      <c r="N41" s="85"/>
    </row>
    <row r="42" spans="1:14" ht="57" x14ac:dyDescent="0.25">
      <c r="A42" s="83">
        <v>17</v>
      </c>
      <c r="B42" s="84" t="s">
        <v>412</v>
      </c>
      <c r="C42" s="84" t="s">
        <v>413</v>
      </c>
      <c r="D42" s="83">
        <v>128</v>
      </c>
      <c r="E42" s="85">
        <v>30.04</v>
      </c>
      <c r="F42" s="85"/>
      <c r="G42" s="85">
        <v>30.04</v>
      </c>
      <c r="H42" s="86" t="s">
        <v>411</v>
      </c>
      <c r="I42" s="87">
        <v>21379</v>
      </c>
      <c r="J42" s="85"/>
      <c r="K42" s="85"/>
      <c r="L42" s="85" t="str">
        <f>IF(128*30.04=0," ",TEXT(,ROUND((128*30.04*5.56),2)))</f>
        <v>21378,87</v>
      </c>
      <c r="M42" s="85"/>
      <c r="N42" s="85"/>
    </row>
    <row r="43" spans="1:14" ht="57" x14ac:dyDescent="0.25">
      <c r="A43" s="83">
        <v>18</v>
      </c>
      <c r="B43" s="84" t="s">
        <v>414</v>
      </c>
      <c r="C43" s="84" t="s">
        <v>415</v>
      </c>
      <c r="D43" s="83">
        <v>140</v>
      </c>
      <c r="E43" s="85">
        <v>19.93</v>
      </c>
      <c r="F43" s="85"/>
      <c r="G43" s="85">
        <v>19.93</v>
      </c>
      <c r="H43" s="86" t="s">
        <v>411</v>
      </c>
      <c r="I43" s="87">
        <v>15513</v>
      </c>
      <c r="J43" s="85"/>
      <c r="K43" s="85"/>
      <c r="L43" s="85" t="str">
        <f>IF(140*19.93=0," ",TEXT(,ROUND((140*19.93*5.56),2)))</f>
        <v>15513,51</v>
      </c>
      <c r="M43" s="85"/>
      <c r="N43" s="85"/>
    </row>
    <row r="44" spans="1:14" ht="68.400000000000006" x14ac:dyDescent="0.25">
      <c r="A44" s="83">
        <v>19</v>
      </c>
      <c r="B44" s="84" t="s">
        <v>416</v>
      </c>
      <c r="C44" s="84" t="s">
        <v>417</v>
      </c>
      <c r="D44" s="83">
        <v>56</v>
      </c>
      <c r="E44" s="85">
        <v>390.35</v>
      </c>
      <c r="F44" s="85"/>
      <c r="G44" s="85">
        <v>390.35</v>
      </c>
      <c r="H44" s="86" t="s">
        <v>411</v>
      </c>
      <c r="I44" s="87">
        <v>121540</v>
      </c>
      <c r="J44" s="85"/>
      <c r="K44" s="85"/>
      <c r="L44" s="85" t="str">
        <f>IF(56*390.35=0," ",TEXT(,ROUND((56*390.35*5.56),2)))</f>
        <v>121539,38</v>
      </c>
      <c r="M44" s="85"/>
      <c r="N44" s="85"/>
    </row>
    <row r="45" spans="1:14" ht="57" x14ac:dyDescent="0.25">
      <c r="A45" s="83">
        <v>20</v>
      </c>
      <c r="B45" s="84" t="s">
        <v>418</v>
      </c>
      <c r="C45" s="84" t="s">
        <v>419</v>
      </c>
      <c r="D45" s="83">
        <v>64</v>
      </c>
      <c r="E45" s="85">
        <v>203.79</v>
      </c>
      <c r="F45" s="85"/>
      <c r="G45" s="85">
        <v>203.79</v>
      </c>
      <c r="H45" s="86" t="s">
        <v>411</v>
      </c>
      <c r="I45" s="87">
        <v>72516</v>
      </c>
      <c r="J45" s="85"/>
      <c r="K45" s="85"/>
      <c r="L45" s="85" t="str">
        <f>IF(64*203.79=0," ",TEXT(,ROUND((64*203.79*5.56),2)))</f>
        <v>72516,63</v>
      </c>
      <c r="M45" s="85"/>
      <c r="N45" s="85"/>
    </row>
    <row r="46" spans="1:14" ht="57" x14ac:dyDescent="0.25">
      <c r="A46" s="83">
        <v>21</v>
      </c>
      <c r="B46" s="84" t="s">
        <v>420</v>
      </c>
      <c r="C46" s="84" t="s">
        <v>421</v>
      </c>
      <c r="D46" s="83">
        <v>8</v>
      </c>
      <c r="E46" s="85">
        <v>325.87</v>
      </c>
      <c r="F46" s="85"/>
      <c r="G46" s="85">
        <v>325.87</v>
      </c>
      <c r="H46" s="86" t="s">
        <v>411</v>
      </c>
      <c r="I46" s="87">
        <v>14495</v>
      </c>
      <c r="J46" s="85"/>
      <c r="K46" s="85"/>
      <c r="L46" s="85" t="str">
        <f>IF(8*325.87=0," ",TEXT(,ROUND((8*325.87*5.56),2)))</f>
        <v>14494,7</v>
      </c>
      <c r="M46" s="85"/>
      <c r="N46" s="85"/>
    </row>
    <row r="47" spans="1:14" ht="57" x14ac:dyDescent="0.25">
      <c r="A47" s="83">
        <v>22</v>
      </c>
      <c r="B47" s="84" t="s">
        <v>420</v>
      </c>
      <c r="C47" s="84" t="s">
        <v>422</v>
      </c>
      <c r="D47" s="83">
        <v>16</v>
      </c>
      <c r="E47" s="85">
        <v>271.92</v>
      </c>
      <c r="F47" s="85"/>
      <c r="G47" s="85">
        <v>271.92</v>
      </c>
      <c r="H47" s="86" t="s">
        <v>411</v>
      </c>
      <c r="I47" s="87">
        <v>24190</v>
      </c>
      <c r="J47" s="85"/>
      <c r="K47" s="85"/>
      <c r="L47" s="85" t="str">
        <f>IF(16*271.92=0," ",TEXT(,ROUND((16*271.92*5.56),2)))</f>
        <v>24190</v>
      </c>
      <c r="M47" s="85"/>
      <c r="N47" s="85"/>
    </row>
    <row r="48" spans="1:14" ht="159.6" x14ac:dyDescent="0.25">
      <c r="A48" s="83">
        <v>23</v>
      </c>
      <c r="B48" s="84" t="s">
        <v>423</v>
      </c>
      <c r="C48" s="84" t="s">
        <v>424</v>
      </c>
      <c r="D48" s="83">
        <v>0.49919999999999998</v>
      </c>
      <c r="E48" s="85" t="s">
        <v>425</v>
      </c>
      <c r="F48" s="85" t="s">
        <v>426</v>
      </c>
      <c r="G48" s="85">
        <v>19744.29</v>
      </c>
      <c r="H48" s="86" t="s">
        <v>427</v>
      </c>
      <c r="I48" s="87">
        <v>36446</v>
      </c>
      <c r="J48" s="85">
        <v>8656</v>
      </c>
      <c r="K48" s="85" t="s">
        <v>428</v>
      </c>
      <c r="L48" s="85" t="str">
        <f>IF(0.4992*19744.29=0," ",TEXT(,ROUND((0.4992*19744.29*2.68),2)))</f>
        <v>26415,02</v>
      </c>
      <c r="M48" s="85" t="s">
        <v>429</v>
      </c>
      <c r="N48" s="85" t="s">
        <v>430</v>
      </c>
    </row>
    <row r="49" spans="1:14" ht="57" x14ac:dyDescent="0.25">
      <c r="A49" s="83">
        <v>24</v>
      </c>
      <c r="B49" s="84" t="s">
        <v>431</v>
      </c>
      <c r="C49" s="84" t="s">
        <v>432</v>
      </c>
      <c r="D49" s="83">
        <v>-49.92</v>
      </c>
      <c r="E49" s="85">
        <v>197</v>
      </c>
      <c r="F49" s="85"/>
      <c r="G49" s="85">
        <v>197</v>
      </c>
      <c r="H49" s="86" t="s">
        <v>433</v>
      </c>
      <c r="I49" s="87">
        <v>-26287</v>
      </c>
      <c r="J49" s="85"/>
      <c r="K49" s="85"/>
      <c r="L49" s="85" t="str">
        <f>IF(-49.92*197=0," ",TEXT(,ROUND((-49.92*197*2.673),2)))</f>
        <v>-26286,92</v>
      </c>
      <c r="M49" s="85"/>
      <c r="N49" s="85"/>
    </row>
    <row r="50" spans="1:14" ht="45.6" x14ac:dyDescent="0.25">
      <c r="A50" s="83">
        <v>25</v>
      </c>
      <c r="B50" s="84" t="s">
        <v>420</v>
      </c>
      <c r="C50" s="84" t="s">
        <v>434</v>
      </c>
      <c r="D50" s="83">
        <v>16</v>
      </c>
      <c r="E50" s="85">
        <v>300.88</v>
      </c>
      <c r="F50" s="85"/>
      <c r="G50" s="85">
        <v>300.88</v>
      </c>
      <c r="H50" s="86" t="s">
        <v>411</v>
      </c>
      <c r="I50" s="87">
        <v>26766</v>
      </c>
      <c r="J50" s="85"/>
      <c r="K50" s="85"/>
      <c r="L50" s="85" t="str">
        <f>IF(16*300.88=0," ",TEXT(,ROUND((16*300.88*5.56),2)))</f>
        <v>26766,28</v>
      </c>
      <c r="M50" s="85"/>
      <c r="N50" s="85"/>
    </row>
    <row r="51" spans="1:14" ht="45.6" x14ac:dyDescent="0.25">
      <c r="A51" s="83">
        <v>26</v>
      </c>
      <c r="B51" s="84" t="s">
        <v>420</v>
      </c>
      <c r="C51" s="84" t="s">
        <v>435</v>
      </c>
      <c r="D51" s="83">
        <v>16</v>
      </c>
      <c r="E51" s="85">
        <v>176.05</v>
      </c>
      <c r="F51" s="85"/>
      <c r="G51" s="85">
        <v>176.05</v>
      </c>
      <c r="H51" s="86" t="s">
        <v>411</v>
      </c>
      <c r="I51" s="87">
        <v>15661</v>
      </c>
      <c r="J51" s="85"/>
      <c r="K51" s="85"/>
      <c r="L51" s="85" t="str">
        <f>IF(16*176.05=0," ",TEXT(,ROUND((16*176.05*5.56),2)))</f>
        <v>15661,41</v>
      </c>
      <c r="M51" s="85"/>
      <c r="N51" s="85"/>
    </row>
    <row r="52" spans="1:14" ht="159.6" x14ac:dyDescent="0.25">
      <c r="A52" s="83">
        <v>27</v>
      </c>
      <c r="B52" s="84" t="s">
        <v>436</v>
      </c>
      <c r="C52" s="84" t="s">
        <v>437</v>
      </c>
      <c r="D52" s="83">
        <v>7.0848000000000004</v>
      </c>
      <c r="E52" s="85" t="s">
        <v>438</v>
      </c>
      <c r="F52" s="85" t="s">
        <v>439</v>
      </c>
      <c r="G52" s="85">
        <v>17904.580000000002</v>
      </c>
      <c r="H52" s="86" t="s">
        <v>440</v>
      </c>
      <c r="I52" s="87">
        <v>1058424</v>
      </c>
      <c r="J52" s="85">
        <v>83453</v>
      </c>
      <c r="K52" s="85" t="s">
        <v>441</v>
      </c>
      <c r="L52" s="85" t="str">
        <f>IF(7.0848*17904.58=0," ",TEXT(,ROUND((7.0848*17904.58*7.52),2)))</f>
        <v>953914,77</v>
      </c>
      <c r="M52" s="85" t="s">
        <v>442</v>
      </c>
      <c r="N52" s="85" t="s">
        <v>443</v>
      </c>
    </row>
    <row r="53" spans="1:14" ht="57" x14ac:dyDescent="0.25">
      <c r="A53" s="83">
        <v>28</v>
      </c>
      <c r="B53" s="84" t="s">
        <v>444</v>
      </c>
      <c r="C53" s="84" t="s">
        <v>445</v>
      </c>
      <c r="D53" s="83">
        <v>-708.5</v>
      </c>
      <c r="E53" s="85">
        <v>167</v>
      </c>
      <c r="F53" s="85"/>
      <c r="G53" s="85">
        <v>167</v>
      </c>
      <c r="H53" s="86" t="s">
        <v>446</v>
      </c>
      <c r="I53" s="87">
        <v>-930820</v>
      </c>
      <c r="J53" s="85"/>
      <c r="K53" s="85"/>
      <c r="L53" s="85" t="str">
        <f>IF(-708.5*167=0," ",TEXT(,ROUND((-708.5*167*7.867),2)))</f>
        <v>-930819,51</v>
      </c>
      <c r="M53" s="85"/>
      <c r="N53" s="85"/>
    </row>
    <row r="54" spans="1:14" ht="57" x14ac:dyDescent="0.25">
      <c r="A54" s="83">
        <v>29</v>
      </c>
      <c r="B54" s="84" t="s">
        <v>447</v>
      </c>
      <c r="C54" s="84" t="s">
        <v>448</v>
      </c>
      <c r="D54" s="83">
        <v>-313.10000000000002</v>
      </c>
      <c r="E54" s="85">
        <v>24.75</v>
      </c>
      <c r="F54" s="85"/>
      <c r="G54" s="85">
        <v>24.75</v>
      </c>
      <c r="H54" s="86" t="s">
        <v>449</v>
      </c>
      <c r="I54" s="87">
        <v>-15815</v>
      </c>
      <c r="J54" s="85"/>
      <c r="K54" s="85"/>
      <c r="L54" s="85" t="str">
        <f>IF(-313.1*24.75=0," ",TEXT(,ROUND((-313.1*24.75*2.041),2)))</f>
        <v>-15816,17</v>
      </c>
      <c r="M54" s="85"/>
      <c r="N54" s="85"/>
    </row>
    <row r="55" spans="1:14" ht="45.6" x14ac:dyDescent="0.25">
      <c r="A55" s="83">
        <v>30</v>
      </c>
      <c r="B55" s="84" t="s">
        <v>420</v>
      </c>
      <c r="C55" s="84" t="s">
        <v>450</v>
      </c>
      <c r="D55" s="83">
        <v>3936</v>
      </c>
      <c r="E55" s="85">
        <v>82.31</v>
      </c>
      <c r="F55" s="85"/>
      <c r="G55" s="85">
        <v>82.31</v>
      </c>
      <c r="H55" s="86" t="s">
        <v>411</v>
      </c>
      <c r="I55" s="87">
        <v>1801271</v>
      </c>
      <c r="J55" s="85"/>
      <c r="K55" s="85"/>
      <c r="L55" s="85" t="str">
        <f>IF(3936*82.31=0," ",TEXT(,ROUND((3936*82.31*5.56),2)))</f>
        <v>1801285,21</v>
      </c>
      <c r="M55" s="85"/>
      <c r="N55" s="85"/>
    </row>
    <row r="56" spans="1:14" ht="57" x14ac:dyDescent="0.25">
      <c r="A56" s="83">
        <v>31</v>
      </c>
      <c r="B56" s="84" t="s">
        <v>420</v>
      </c>
      <c r="C56" s="84" t="s">
        <v>451</v>
      </c>
      <c r="D56" s="83">
        <v>530</v>
      </c>
      <c r="E56" s="85">
        <v>44.96</v>
      </c>
      <c r="F56" s="85"/>
      <c r="G56" s="85">
        <v>44.96</v>
      </c>
      <c r="H56" s="86" t="s">
        <v>411</v>
      </c>
      <c r="I56" s="87">
        <v>132489</v>
      </c>
      <c r="J56" s="85"/>
      <c r="K56" s="85"/>
      <c r="L56" s="85" t="str">
        <f>IF(530*44.96=0," ",TEXT(,ROUND((530*44.96*5.56),2)))</f>
        <v>132488,13</v>
      </c>
      <c r="M56" s="85"/>
      <c r="N56" s="85"/>
    </row>
    <row r="57" spans="1:14" ht="45.6" x14ac:dyDescent="0.25">
      <c r="A57" s="83">
        <v>32</v>
      </c>
      <c r="B57" s="84" t="s">
        <v>420</v>
      </c>
      <c r="C57" s="84" t="s">
        <v>452</v>
      </c>
      <c r="D57" s="83">
        <v>530</v>
      </c>
      <c r="E57" s="85">
        <v>59.6</v>
      </c>
      <c r="F57" s="85"/>
      <c r="G57" s="85">
        <v>59.6</v>
      </c>
      <c r="H57" s="86" t="s">
        <v>411</v>
      </c>
      <c r="I57" s="87">
        <v>175631</v>
      </c>
      <c r="J57" s="85"/>
      <c r="K57" s="85"/>
      <c r="L57" s="85" t="str">
        <f>IF(530*59.6=0," ",TEXT(,ROUND((530*59.6*5.56),2)))</f>
        <v>175629,28</v>
      </c>
      <c r="M57" s="85"/>
      <c r="N57" s="85"/>
    </row>
    <row r="58" spans="1:14" ht="68.400000000000006" x14ac:dyDescent="0.25">
      <c r="A58" s="83">
        <v>33</v>
      </c>
      <c r="B58" s="84" t="s">
        <v>453</v>
      </c>
      <c r="C58" s="84" t="s">
        <v>454</v>
      </c>
      <c r="D58" s="83">
        <v>530</v>
      </c>
      <c r="E58" s="85">
        <v>47.3</v>
      </c>
      <c r="F58" s="85"/>
      <c r="G58" s="85">
        <v>47.3</v>
      </c>
      <c r="H58" s="86" t="s">
        <v>411</v>
      </c>
      <c r="I58" s="87">
        <v>139385</v>
      </c>
      <c r="J58" s="85"/>
      <c r="K58" s="85"/>
      <c r="L58" s="85" t="str">
        <f>IF(530*47.3=0," ",TEXT(,ROUND((530*47.3*5.56),2)))</f>
        <v>139383,64</v>
      </c>
      <c r="M58" s="85"/>
      <c r="N58" s="85"/>
    </row>
    <row r="59" spans="1:14" ht="171" x14ac:dyDescent="0.25">
      <c r="A59" s="83">
        <v>34</v>
      </c>
      <c r="B59" s="84" t="s">
        <v>455</v>
      </c>
      <c r="C59" s="84" t="s">
        <v>456</v>
      </c>
      <c r="D59" s="83">
        <v>18</v>
      </c>
      <c r="E59" s="85" t="s">
        <v>457</v>
      </c>
      <c r="F59" s="85"/>
      <c r="G59" s="85">
        <v>25.93</v>
      </c>
      <c r="H59" s="86" t="s">
        <v>458</v>
      </c>
      <c r="I59" s="87">
        <v>1470</v>
      </c>
      <c r="J59" s="85">
        <v>443</v>
      </c>
      <c r="K59" s="85"/>
      <c r="L59" s="85" t="str">
        <f>IF(18*25.93=0," ",TEXT(,ROUND((18*25.93*2.2),2)))</f>
        <v>1026,83</v>
      </c>
      <c r="M59" s="85">
        <v>0.14000000000000001</v>
      </c>
      <c r="N59" s="85">
        <v>2.52</v>
      </c>
    </row>
    <row r="60" spans="1:14" ht="171" x14ac:dyDescent="0.25">
      <c r="A60" s="83">
        <v>35</v>
      </c>
      <c r="B60" s="84" t="s">
        <v>459</v>
      </c>
      <c r="C60" s="84" t="s">
        <v>460</v>
      </c>
      <c r="D60" s="83">
        <v>1</v>
      </c>
      <c r="E60" s="85" t="s">
        <v>461</v>
      </c>
      <c r="F60" s="85" t="s">
        <v>462</v>
      </c>
      <c r="G60" s="85">
        <v>83.08</v>
      </c>
      <c r="H60" s="86" t="s">
        <v>463</v>
      </c>
      <c r="I60" s="87">
        <v>793</v>
      </c>
      <c r="J60" s="85">
        <v>316</v>
      </c>
      <c r="K60" s="85" t="s">
        <v>464</v>
      </c>
      <c r="L60" s="85" t="str">
        <f>IF(1*83.08=0," ",TEXT(,ROUND((1*83.08*4.24),2)))</f>
        <v>352,26</v>
      </c>
      <c r="M60" s="85" t="s">
        <v>465</v>
      </c>
      <c r="N60" s="85" t="s">
        <v>465</v>
      </c>
    </row>
    <row r="61" spans="1:14" ht="45.6" x14ac:dyDescent="0.25">
      <c r="A61" s="83">
        <v>36</v>
      </c>
      <c r="B61" s="84" t="s">
        <v>466</v>
      </c>
      <c r="C61" s="84" t="s">
        <v>467</v>
      </c>
      <c r="D61" s="83">
        <v>1</v>
      </c>
      <c r="E61" s="85">
        <v>11.43</v>
      </c>
      <c r="F61" s="85"/>
      <c r="G61" s="85">
        <v>11.43</v>
      </c>
      <c r="H61" s="86" t="s">
        <v>411</v>
      </c>
      <c r="I61" s="87">
        <v>64</v>
      </c>
      <c r="J61" s="85"/>
      <c r="K61" s="85"/>
      <c r="L61" s="85" t="str">
        <f>IF(1*11.43=0," ",TEXT(,ROUND((1*11.43*5.56),2)))</f>
        <v>63,55</v>
      </c>
      <c r="M61" s="85"/>
      <c r="N61" s="85"/>
    </row>
    <row r="62" spans="1:14" ht="17.850000000000001" customHeight="1" x14ac:dyDescent="0.25">
      <c r="A62" s="126" t="s">
        <v>468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</row>
    <row r="63" spans="1:14" ht="57" x14ac:dyDescent="0.25">
      <c r="A63" s="83">
        <v>37</v>
      </c>
      <c r="B63" s="84" t="s">
        <v>469</v>
      </c>
      <c r="C63" s="84" t="s">
        <v>470</v>
      </c>
      <c r="D63" s="83">
        <v>0.216</v>
      </c>
      <c r="E63" s="85">
        <v>2142.09</v>
      </c>
      <c r="F63" s="85"/>
      <c r="G63" s="85">
        <v>2142.09</v>
      </c>
      <c r="H63" s="86" t="s">
        <v>471</v>
      </c>
      <c r="I63" s="87">
        <v>5618</v>
      </c>
      <c r="J63" s="85"/>
      <c r="K63" s="85"/>
      <c r="L63" s="85" t="str">
        <f>IF(0.216*2142.09=0," ",TEXT(,ROUND((0.216*2142.09*12.141),2)))</f>
        <v>5617,54</v>
      </c>
      <c r="M63" s="85"/>
      <c r="N63" s="85"/>
    </row>
    <row r="64" spans="1:14" ht="57" x14ac:dyDescent="0.25">
      <c r="A64" s="83">
        <v>38</v>
      </c>
      <c r="B64" s="84" t="s">
        <v>472</v>
      </c>
      <c r="C64" s="84" t="s">
        <v>473</v>
      </c>
      <c r="D64" s="83">
        <v>0.10734</v>
      </c>
      <c r="E64" s="85">
        <v>11498</v>
      </c>
      <c r="F64" s="85"/>
      <c r="G64" s="85">
        <v>11498</v>
      </c>
      <c r="H64" s="86" t="s">
        <v>474</v>
      </c>
      <c r="I64" s="87">
        <v>7595</v>
      </c>
      <c r="J64" s="85"/>
      <c r="K64" s="85"/>
      <c r="L64" s="85" t="str">
        <f>IF(0.10734*11498=0," ",TEXT(,ROUND((0.10734*11498*6.154),2)))</f>
        <v>7595,24</v>
      </c>
      <c r="M64" s="85"/>
      <c r="N64" s="85"/>
    </row>
    <row r="65" spans="1:14" ht="68.400000000000006" x14ac:dyDescent="0.25">
      <c r="A65" s="83">
        <v>39</v>
      </c>
      <c r="B65" s="84" t="s">
        <v>475</v>
      </c>
      <c r="C65" s="84" t="s">
        <v>476</v>
      </c>
      <c r="D65" s="83">
        <v>1.17E-2</v>
      </c>
      <c r="E65" s="85">
        <v>8559.5</v>
      </c>
      <c r="F65" s="85"/>
      <c r="G65" s="85">
        <v>8559.5</v>
      </c>
      <c r="H65" s="86" t="s">
        <v>477</v>
      </c>
      <c r="I65" s="87">
        <v>865</v>
      </c>
      <c r="J65" s="85"/>
      <c r="K65" s="85"/>
      <c r="L65" s="85" t="str">
        <f>IF(0.0117*8559.5=0," ",TEXT(,ROUND((0.0117*8559.5*8.638),2)))</f>
        <v>865,06</v>
      </c>
      <c r="M65" s="85"/>
      <c r="N65" s="85"/>
    </row>
    <row r="66" spans="1:14" ht="17.850000000000001" customHeight="1" x14ac:dyDescent="0.25">
      <c r="A66" s="126" t="s">
        <v>478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</row>
    <row r="67" spans="1:14" ht="148.19999999999999" x14ac:dyDescent="0.25">
      <c r="A67" s="83">
        <v>40</v>
      </c>
      <c r="B67" s="84" t="s">
        <v>479</v>
      </c>
      <c r="C67" s="84" t="s">
        <v>480</v>
      </c>
      <c r="D67" s="83">
        <v>5.6437999999999997</v>
      </c>
      <c r="E67" s="85" t="s">
        <v>481</v>
      </c>
      <c r="F67" s="85" t="s">
        <v>482</v>
      </c>
      <c r="G67" s="85">
        <v>202.72</v>
      </c>
      <c r="H67" s="86" t="s">
        <v>483</v>
      </c>
      <c r="I67" s="87">
        <v>11818</v>
      </c>
      <c r="J67" s="85">
        <v>6203</v>
      </c>
      <c r="K67" s="85" t="s">
        <v>484</v>
      </c>
      <c r="L67" s="85" t="str">
        <f>IF(5.6438*202.72=0," ",TEXT(,ROUND((5.6438*202.72*4.27),2)))</f>
        <v>4885,35</v>
      </c>
      <c r="M67" s="85" t="s">
        <v>485</v>
      </c>
      <c r="N67" s="85" t="s">
        <v>486</v>
      </c>
    </row>
    <row r="68" spans="1:14" ht="182.4" x14ac:dyDescent="0.25">
      <c r="A68" s="83">
        <v>41</v>
      </c>
      <c r="B68" s="84" t="s">
        <v>487</v>
      </c>
      <c r="C68" s="84" t="s">
        <v>488</v>
      </c>
      <c r="D68" s="83">
        <v>1.7342</v>
      </c>
      <c r="E68" s="85" t="s">
        <v>489</v>
      </c>
      <c r="F68" s="85" t="s">
        <v>490</v>
      </c>
      <c r="G68" s="85">
        <v>401.56</v>
      </c>
      <c r="H68" s="86" t="s">
        <v>491</v>
      </c>
      <c r="I68" s="87">
        <v>5544</v>
      </c>
      <c r="J68" s="85">
        <v>1761</v>
      </c>
      <c r="K68" s="85" t="s">
        <v>492</v>
      </c>
      <c r="L68" s="85" t="str">
        <f>IF(1.7342*401.56=0," ",TEXT(,ROUND((1.7342*401.56*4.59),2)))</f>
        <v>3196,41</v>
      </c>
      <c r="M68" s="85" t="s">
        <v>493</v>
      </c>
      <c r="N68" s="85" t="s">
        <v>494</v>
      </c>
    </row>
    <row r="69" spans="1:14" ht="182.4" x14ac:dyDescent="0.25">
      <c r="A69" s="83">
        <v>42</v>
      </c>
      <c r="B69" s="84" t="s">
        <v>495</v>
      </c>
      <c r="C69" s="84" t="s">
        <v>496</v>
      </c>
      <c r="D69" s="83">
        <v>4.0343</v>
      </c>
      <c r="E69" s="85" t="s">
        <v>497</v>
      </c>
      <c r="F69" s="85" t="s">
        <v>498</v>
      </c>
      <c r="G69" s="85">
        <v>562.55999999999995</v>
      </c>
      <c r="H69" s="86" t="s">
        <v>499</v>
      </c>
      <c r="I69" s="87">
        <v>17335</v>
      </c>
      <c r="J69" s="85">
        <v>5448</v>
      </c>
      <c r="K69" s="85" t="s">
        <v>500</v>
      </c>
      <c r="L69" s="85" t="str">
        <f>IF(4.0343*562.56=0," ",TEXT(,ROUND((4.0343*562.56*4.94),2)))</f>
        <v>11211,51</v>
      </c>
      <c r="M69" s="85" t="s">
        <v>501</v>
      </c>
      <c r="N69" s="85" t="s">
        <v>502</v>
      </c>
    </row>
    <row r="70" spans="1:14" ht="171" x14ac:dyDescent="0.25">
      <c r="A70" s="83">
        <v>43</v>
      </c>
      <c r="B70" s="84" t="s">
        <v>503</v>
      </c>
      <c r="C70" s="84" t="s">
        <v>504</v>
      </c>
      <c r="D70" s="83">
        <v>87</v>
      </c>
      <c r="E70" s="85" t="s">
        <v>505</v>
      </c>
      <c r="F70" s="85">
        <v>28.29</v>
      </c>
      <c r="G70" s="85">
        <v>2044.28</v>
      </c>
      <c r="H70" s="86" t="s">
        <v>506</v>
      </c>
      <c r="I70" s="87">
        <v>393671</v>
      </c>
      <c r="J70" s="85">
        <v>59044</v>
      </c>
      <c r="K70" s="85">
        <v>28720</v>
      </c>
      <c r="L70" s="85" t="str">
        <f>IF(87*2044.28=0," ",TEXT(,ROUND((87*2044.28*1.72),2)))</f>
        <v>305906,06</v>
      </c>
      <c r="M70" s="85">
        <v>4.05</v>
      </c>
      <c r="N70" s="85">
        <v>352.35</v>
      </c>
    </row>
    <row r="71" spans="1:14" ht="79.8" x14ac:dyDescent="0.25">
      <c r="A71" s="83">
        <v>44</v>
      </c>
      <c r="B71" s="84" t="s">
        <v>507</v>
      </c>
      <c r="C71" s="84" t="s">
        <v>508</v>
      </c>
      <c r="D71" s="83">
        <v>-957</v>
      </c>
      <c r="E71" s="85">
        <v>142.44999999999999</v>
      </c>
      <c r="F71" s="85"/>
      <c r="G71" s="85">
        <v>142.44999999999999</v>
      </c>
      <c r="H71" s="86" t="s">
        <v>509</v>
      </c>
      <c r="I71" s="87">
        <v>-202166</v>
      </c>
      <c r="J71" s="85"/>
      <c r="K71" s="85"/>
      <c r="L71" s="85" t="str">
        <f>IF(-957*142.45=0," ",TEXT(,ROUND((-957*142.45*1.483),2)))</f>
        <v>-202169,46</v>
      </c>
      <c r="M71" s="85"/>
      <c r="N71" s="85"/>
    </row>
    <row r="72" spans="1:14" ht="45.6" x14ac:dyDescent="0.25">
      <c r="A72" s="83">
        <v>45</v>
      </c>
      <c r="B72" s="84" t="s">
        <v>510</v>
      </c>
      <c r="C72" s="84" t="s">
        <v>511</v>
      </c>
      <c r="D72" s="83" t="s">
        <v>512</v>
      </c>
      <c r="E72" s="85">
        <v>274.66000000000003</v>
      </c>
      <c r="F72" s="85"/>
      <c r="G72" s="85">
        <v>274.66000000000003</v>
      </c>
      <c r="H72" s="86" t="s">
        <v>411</v>
      </c>
      <c r="I72" s="87">
        <v>218377</v>
      </c>
      <c r="J72" s="85"/>
      <c r="K72" s="85"/>
      <c r="L72" s="85" t="str">
        <f>IF(143*274.66=0," ",TEXT(,ROUND((143*274.66*5.56),2)))</f>
        <v>218376,67</v>
      </c>
      <c r="M72" s="85"/>
      <c r="N72" s="85"/>
    </row>
    <row r="73" spans="1:14" ht="45.6" x14ac:dyDescent="0.25">
      <c r="A73" s="83">
        <v>46</v>
      </c>
      <c r="B73" s="84" t="s">
        <v>510</v>
      </c>
      <c r="C73" s="84" t="s">
        <v>513</v>
      </c>
      <c r="D73" s="83" t="s">
        <v>514</v>
      </c>
      <c r="E73" s="85">
        <v>226.19</v>
      </c>
      <c r="F73" s="85"/>
      <c r="G73" s="85">
        <v>226.19</v>
      </c>
      <c r="H73" s="86" t="s">
        <v>411</v>
      </c>
      <c r="I73" s="87">
        <v>154939</v>
      </c>
      <c r="J73" s="85"/>
      <c r="K73" s="85"/>
      <c r="L73" s="85" t="str">
        <f>IF(123.2*226.19=0," ",TEXT(,ROUND((123.2*226.19*5.56),2)))</f>
        <v>154938,34</v>
      </c>
      <c r="M73" s="85"/>
      <c r="N73" s="85"/>
    </row>
    <row r="74" spans="1:14" ht="45.6" x14ac:dyDescent="0.25">
      <c r="A74" s="83">
        <v>47</v>
      </c>
      <c r="B74" s="84" t="s">
        <v>510</v>
      </c>
      <c r="C74" s="84" t="s">
        <v>515</v>
      </c>
      <c r="D74" s="83" t="s">
        <v>516</v>
      </c>
      <c r="E74" s="85">
        <v>131.54</v>
      </c>
      <c r="F74" s="85"/>
      <c r="G74" s="85">
        <v>131.54</v>
      </c>
      <c r="H74" s="86" t="s">
        <v>411</v>
      </c>
      <c r="I74" s="87">
        <v>112629</v>
      </c>
      <c r="J74" s="85"/>
      <c r="K74" s="85"/>
      <c r="L74" s="85" t="str">
        <f>IF(154*131.54=0," ",TEXT(,ROUND((154*131.54*5.56),2)))</f>
        <v>112629,81</v>
      </c>
      <c r="M74" s="85"/>
      <c r="N74" s="85"/>
    </row>
    <row r="75" spans="1:14" ht="45.6" x14ac:dyDescent="0.25">
      <c r="A75" s="83">
        <v>48</v>
      </c>
      <c r="B75" s="84" t="s">
        <v>517</v>
      </c>
      <c r="C75" s="84" t="s">
        <v>518</v>
      </c>
      <c r="D75" s="83" t="s">
        <v>519</v>
      </c>
      <c r="E75" s="85">
        <v>81.540000000000006</v>
      </c>
      <c r="F75" s="85"/>
      <c r="G75" s="85">
        <v>81.540000000000006</v>
      </c>
      <c r="H75" s="86" t="s">
        <v>411</v>
      </c>
      <c r="I75" s="87">
        <v>58846</v>
      </c>
      <c r="J75" s="85"/>
      <c r="K75" s="85"/>
      <c r="L75" s="85" t="str">
        <f>IF(129.8*81.54=0," ",TEXT(,ROUND((129.8*81.54*5.56),2)))</f>
        <v>58846,44</v>
      </c>
      <c r="M75" s="85"/>
      <c r="N75" s="85"/>
    </row>
    <row r="76" spans="1:14" ht="45.6" x14ac:dyDescent="0.25">
      <c r="A76" s="83">
        <v>49</v>
      </c>
      <c r="B76" s="84" t="s">
        <v>517</v>
      </c>
      <c r="C76" s="84" t="s">
        <v>520</v>
      </c>
      <c r="D76" s="83" t="s">
        <v>521</v>
      </c>
      <c r="E76" s="85">
        <v>66.150000000000006</v>
      </c>
      <c r="F76" s="85"/>
      <c r="G76" s="85">
        <v>66.150000000000006</v>
      </c>
      <c r="H76" s="86" t="s">
        <v>411</v>
      </c>
      <c r="I76" s="87">
        <v>32366</v>
      </c>
      <c r="J76" s="85"/>
      <c r="K76" s="85"/>
      <c r="L76" s="85" t="str">
        <f>IF(88*66.15=0," ",TEXT(,ROUND((88*66.15*5.56),2)))</f>
        <v>32365,87</v>
      </c>
      <c r="M76" s="85"/>
      <c r="N76" s="85"/>
    </row>
    <row r="77" spans="1:14" ht="45.6" x14ac:dyDescent="0.25">
      <c r="A77" s="83">
        <v>50</v>
      </c>
      <c r="B77" s="84" t="s">
        <v>517</v>
      </c>
      <c r="C77" s="84" t="s">
        <v>522</v>
      </c>
      <c r="D77" s="83" t="s">
        <v>523</v>
      </c>
      <c r="E77" s="85">
        <v>58.38</v>
      </c>
      <c r="F77" s="85"/>
      <c r="G77" s="85">
        <v>58.38</v>
      </c>
      <c r="H77" s="86" t="s">
        <v>411</v>
      </c>
      <c r="I77" s="87">
        <v>31420</v>
      </c>
      <c r="J77" s="85"/>
      <c r="K77" s="85"/>
      <c r="L77" s="85" t="str">
        <f>IF(96.8*58.38=0," ",TEXT(,ROUND((96.8*58.38*5.56),2)))</f>
        <v>31420,58</v>
      </c>
      <c r="M77" s="85"/>
      <c r="N77" s="85"/>
    </row>
    <row r="78" spans="1:14" ht="45.6" x14ac:dyDescent="0.25">
      <c r="A78" s="83">
        <v>51</v>
      </c>
      <c r="B78" s="84" t="s">
        <v>517</v>
      </c>
      <c r="C78" s="84" t="s">
        <v>524</v>
      </c>
      <c r="D78" s="83" t="s">
        <v>525</v>
      </c>
      <c r="E78" s="85">
        <v>49.54</v>
      </c>
      <c r="F78" s="85"/>
      <c r="G78" s="85">
        <v>49.54</v>
      </c>
      <c r="H78" s="86" t="s">
        <v>411</v>
      </c>
      <c r="I78" s="87">
        <v>29086</v>
      </c>
      <c r="J78" s="85"/>
      <c r="K78" s="85"/>
      <c r="L78" s="85" t="str">
        <f>IF(105.6*49.54=0," ",TEXT(,ROUND((105.6*49.54*5.56),2)))</f>
        <v>29086,72</v>
      </c>
      <c r="M78" s="85"/>
      <c r="N78" s="85"/>
    </row>
    <row r="79" spans="1:14" ht="45.6" x14ac:dyDescent="0.25">
      <c r="A79" s="83">
        <v>52</v>
      </c>
      <c r="B79" s="84" t="s">
        <v>517</v>
      </c>
      <c r="C79" s="84" t="s">
        <v>526</v>
      </c>
      <c r="D79" s="83" t="s">
        <v>527</v>
      </c>
      <c r="E79" s="85">
        <v>20.12</v>
      </c>
      <c r="F79" s="85"/>
      <c r="G79" s="85">
        <v>20.12</v>
      </c>
      <c r="H79" s="86" t="s">
        <v>411</v>
      </c>
      <c r="I79" s="87">
        <v>13044</v>
      </c>
      <c r="J79" s="85"/>
      <c r="K79" s="85"/>
      <c r="L79" s="85" t="str">
        <f>IF(116.6*20.12=0," ",TEXT(,ROUND((116.6*20.12*5.56),2)))</f>
        <v>13043,72</v>
      </c>
      <c r="M79" s="85"/>
      <c r="N79" s="85"/>
    </row>
    <row r="80" spans="1:14" ht="17.850000000000001" customHeight="1" x14ac:dyDescent="0.25">
      <c r="A80" s="126" t="s">
        <v>528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</row>
    <row r="81" spans="1:14" ht="125.4" x14ac:dyDescent="0.25">
      <c r="A81" s="83">
        <v>53</v>
      </c>
      <c r="B81" s="84" t="s">
        <v>529</v>
      </c>
      <c r="C81" s="84" t="s">
        <v>530</v>
      </c>
      <c r="D81" s="83">
        <v>5.28</v>
      </c>
      <c r="E81" s="85" t="s">
        <v>531</v>
      </c>
      <c r="F81" s="85" t="s">
        <v>532</v>
      </c>
      <c r="G81" s="85">
        <v>7750.69</v>
      </c>
      <c r="H81" s="86" t="s">
        <v>533</v>
      </c>
      <c r="I81" s="87">
        <v>144877</v>
      </c>
      <c r="J81" s="85">
        <v>27040</v>
      </c>
      <c r="K81" s="85" t="s">
        <v>534</v>
      </c>
      <c r="L81" s="85" t="str">
        <f>IF(5.28*7750.69=0," ",TEXT(,ROUND((5.28*7750.69*1.61),2)))</f>
        <v>65887,07</v>
      </c>
      <c r="M81" s="85" t="s">
        <v>535</v>
      </c>
      <c r="N81" s="85" t="s">
        <v>536</v>
      </c>
    </row>
    <row r="82" spans="1:14" ht="136.80000000000001" x14ac:dyDescent="0.25">
      <c r="A82" s="83">
        <v>54</v>
      </c>
      <c r="B82" s="84" t="s">
        <v>537</v>
      </c>
      <c r="C82" s="84" t="s">
        <v>538</v>
      </c>
      <c r="D82" s="83">
        <v>5.28</v>
      </c>
      <c r="E82" s="85" t="s">
        <v>539</v>
      </c>
      <c r="F82" s="85" t="s">
        <v>540</v>
      </c>
      <c r="G82" s="85">
        <v>775.06</v>
      </c>
      <c r="H82" s="86" t="s">
        <v>533</v>
      </c>
      <c r="I82" s="87">
        <v>15129</v>
      </c>
      <c r="J82" s="85">
        <v>3983</v>
      </c>
      <c r="K82" s="85" t="s">
        <v>541</v>
      </c>
      <c r="L82" s="85" t="str">
        <f>IF(5.28*775.06=0," ",TEXT(,ROUND((5.28*775.06*1.61),2)))</f>
        <v>6588,63</v>
      </c>
      <c r="M82" s="85" t="s">
        <v>542</v>
      </c>
      <c r="N82" s="85" t="s">
        <v>543</v>
      </c>
    </row>
    <row r="83" spans="1:14" ht="91.2" x14ac:dyDescent="0.25">
      <c r="A83" s="83">
        <v>55</v>
      </c>
      <c r="B83" s="84" t="s">
        <v>544</v>
      </c>
      <c r="C83" s="84" t="s">
        <v>545</v>
      </c>
      <c r="D83" s="83">
        <v>5.28</v>
      </c>
      <c r="E83" s="85" t="s">
        <v>546</v>
      </c>
      <c r="F83" s="85" t="s">
        <v>547</v>
      </c>
      <c r="G83" s="85">
        <v>446.18</v>
      </c>
      <c r="H83" s="86" t="s">
        <v>548</v>
      </c>
      <c r="I83" s="87">
        <v>56886</v>
      </c>
      <c r="J83" s="85">
        <v>46163</v>
      </c>
      <c r="K83" s="85" t="s">
        <v>549</v>
      </c>
      <c r="L83" s="85" t="str">
        <f>IF(5.28*446.18=0," ",TEXT(,ROUND((5.28*446.18*4.51),2)))</f>
        <v>10624,8</v>
      </c>
      <c r="M83" s="85" t="s">
        <v>550</v>
      </c>
      <c r="N83" s="85" t="s">
        <v>551</v>
      </c>
    </row>
    <row r="84" spans="1:14" ht="57" x14ac:dyDescent="0.25">
      <c r="A84" s="83">
        <v>56</v>
      </c>
      <c r="B84" s="84" t="s">
        <v>552</v>
      </c>
      <c r="C84" s="84" t="s">
        <v>553</v>
      </c>
      <c r="D84" s="83">
        <v>7.0000000000000007E-2</v>
      </c>
      <c r="E84" s="85" t="s">
        <v>554</v>
      </c>
      <c r="F84" s="85" t="s">
        <v>555</v>
      </c>
      <c r="G84" s="85">
        <v>1142.71</v>
      </c>
      <c r="H84" s="86" t="s">
        <v>556</v>
      </c>
      <c r="I84" s="87">
        <v>1062</v>
      </c>
      <c r="J84" s="85">
        <v>566</v>
      </c>
      <c r="K84" s="85" t="s">
        <v>557</v>
      </c>
      <c r="L84" s="85" t="str">
        <f>IF(0.07*1142.71=0," ",TEXT(,ROUND((0.07*1142.71*6.09),2)))</f>
        <v>487,14</v>
      </c>
      <c r="M84" s="85" t="s">
        <v>558</v>
      </c>
      <c r="N84" s="85" t="s">
        <v>559</v>
      </c>
    </row>
    <row r="85" spans="1:14" ht="68.400000000000006" x14ac:dyDescent="0.25">
      <c r="A85" s="83">
        <v>57</v>
      </c>
      <c r="B85" s="84" t="s">
        <v>552</v>
      </c>
      <c r="C85" s="84" t="s">
        <v>560</v>
      </c>
      <c r="D85" s="83">
        <v>0.125</v>
      </c>
      <c r="E85" s="85" t="s">
        <v>554</v>
      </c>
      <c r="F85" s="85" t="s">
        <v>555</v>
      </c>
      <c r="G85" s="85">
        <v>1142.71</v>
      </c>
      <c r="H85" s="86" t="s">
        <v>556</v>
      </c>
      <c r="I85" s="87">
        <v>1896</v>
      </c>
      <c r="J85" s="85">
        <v>1010</v>
      </c>
      <c r="K85" s="85" t="s">
        <v>561</v>
      </c>
      <c r="L85" s="85" t="str">
        <f>IF(0.125*1142.71=0," ",TEXT(,ROUND((0.125*1142.71*6.09),2)))</f>
        <v>869,89</v>
      </c>
      <c r="M85" s="85" t="s">
        <v>558</v>
      </c>
      <c r="N85" s="85" t="s">
        <v>562</v>
      </c>
    </row>
    <row r="86" spans="1:14" ht="57" x14ac:dyDescent="0.25">
      <c r="A86" s="83">
        <v>58</v>
      </c>
      <c r="B86" s="84" t="s">
        <v>563</v>
      </c>
      <c r="C86" s="84" t="s">
        <v>564</v>
      </c>
      <c r="D86" s="83">
        <v>-0.14000000000000001</v>
      </c>
      <c r="E86" s="85">
        <v>904</v>
      </c>
      <c r="F86" s="85"/>
      <c r="G86" s="85">
        <v>904</v>
      </c>
      <c r="H86" s="86" t="s">
        <v>565</v>
      </c>
      <c r="I86" s="87">
        <v>-819</v>
      </c>
      <c r="J86" s="85"/>
      <c r="K86" s="85"/>
      <c r="L86" s="85" t="str">
        <f>IF(-0.14*904=0," ",TEXT(,ROUND((-0.14*904*6.468),2)))</f>
        <v>-818,59</v>
      </c>
      <c r="M86" s="85"/>
      <c r="N86" s="85"/>
    </row>
    <row r="87" spans="1:14" ht="57" x14ac:dyDescent="0.25">
      <c r="A87" s="83">
        <v>59</v>
      </c>
      <c r="B87" s="84" t="s">
        <v>566</v>
      </c>
      <c r="C87" s="84" t="s">
        <v>567</v>
      </c>
      <c r="D87" s="83">
        <v>14</v>
      </c>
      <c r="E87" s="85">
        <v>132</v>
      </c>
      <c r="F87" s="85"/>
      <c r="G87" s="85">
        <v>132</v>
      </c>
      <c r="H87" s="86" t="s">
        <v>568</v>
      </c>
      <c r="I87" s="87">
        <v>5466</v>
      </c>
      <c r="J87" s="85"/>
      <c r="K87" s="85"/>
      <c r="L87" s="85" t="str">
        <f>IF(14*132=0," ",TEXT(,ROUND((14*132*2.958),2)))</f>
        <v>5466,38</v>
      </c>
      <c r="M87" s="85"/>
      <c r="N87" s="85"/>
    </row>
    <row r="88" spans="1:14" ht="171" x14ac:dyDescent="0.25">
      <c r="A88" s="83">
        <v>60</v>
      </c>
      <c r="B88" s="84" t="s">
        <v>569</v>
      </c>
      <c r="C88" s="84" t="s">
        <v>570</v>
      </c>
      <c r="D88" s="83">
        <v>7.0000000000000007E-2</v>
      </c>
      <c r="E88" s="85" t="s">
        <v>571</v>
      </c>
      <c r="F88" s="85">
        <v>23.01</v>
      </c>
      <c r="G88" s="85"/>
      <c r="H88" s="86" t="s">
        <v>572</v>
      </c>
      <c r="I88" s="87">
        <v>847</v>
      </c>
      <c r="J88" s="85">
        <v>841</v>
      </c>
      <c r="K88" s="85">
        <v>6</v>
      </c>
      <c r="L88" s="85" t="str">
        <f>IF(0.07*0=0," ",TEXT(,ROUND((0.07*0*6.18),2)))</f>
        <v xml:space="preserve"> </v>
      </c>
      <c r="M88" s="85">
        <v>78.400000000000006</v>
      </c>
      <c r="N88" s="85">
        <v>5.49</v>
      </c>
    </row>
    <row r="89" spans="1:14" ht="182.4" x14ac:dyDescent="0.25">
      <c r="A89" s="88">
        <v>61</v>
      </c>
      <c r="B89" s="89" t="s">
        <v>569</v>
      </c>
      <c r="C89" s="89" t="s">
        <v>573</v>
      </c>
      <c r="D89" s="88">
        <v>7.0000000000000007E-2</v>
      </c>
      <c r="E89" s="90" t="s">
        <v>574</v>
      </c>
      <c r="F89" s="90">
        <v>35.950000000000003</v>
      </c>
      <c r="G89" s="90">
        <v>6515.53</v>
      </c>
      <c r="H89" s="91" t="s">
        <v>572</v>
      </c>
      <c r="I89" s="92">
        <v>4036</v>
      </c>
      <c r="J89" s="90">
        <v>1209</v>
      </c>
      <c r="K89" s="90">
        <v>9</v>
      </c>
      <c r="L89" s="90" t="str">
        <f>IF(0.07*6515.53=0," ",TEXT(,ROUND((0.07*6515.53*6.18),2)))</f>
        <v>2818,62</v>
      </c>
      <c r="M89" s="90">
        <v>112.7</v>
      </c>
      <c r="N89" s="90">
        <v>7.89</v>
      </c>
    </row>
    <row r="90" spans="1:14" ht="22.8" x14ac:dyDescent="0.25">
      <c r="A90" s="125" t="s">
        <v>575</v>
      </c>
      <c r="B90" s="122"/>
      <c r="C90" s="122"/>
      <c r="D90" s="122"/>
      <c r="E90" s="122"/>
      <c r="F90" s="122"/>
      <c r="G90" s="122"/>
      <c r="H90" s="122"/>
      <c r="I90" s="87">
        <v>5563124</v>
      </c>
      <c r="J90" s="85">
        <v>1061120</v>
      </c>
      <c r="K90" s="85" t="s">
        <v>576</v>
      </c>
      <c r="L90" s="85">
        <v>4329953</v>
      </c>
      <c r="M90" s="85"/>
      <c r="N90" s="85" t="s">
        <v>577</v>
      </c>
    </row>
    <row r="91" spans="1:14" x14ac:dyDescent="0.25">
      <c r="A91" s="125" t="s">
        <v>578</v>
      </c>
      <c r="B91" s="122"/>
      <c r="C91" s="122"/>
      <c r="D91" s="122"/>
      <c r="E91" s="122"/>
      <c r="F91" s="122"/>
      <c r="G91" s="122"/>
      <c r="H91" s="122"/>
      <c r="I91" s="87">
        <v>923521</v>
      </c>
      <c r="J91" s="85"/>
      <c r="K91" s="85"/>
      <c r="L91" s="85"/>
      <c r="M91" s="85"/>
      <c r="N91" s="85"/>
    </row>
    <row r="92" spans="1:14" x14ac:dyDescent="0.25">
      <c r="A92" s="125" t="s">
        <v>579</v>
      </c>
      <c r="B92" s="122"/>
      <c r="C92" s="122"/>
      <c r="D92" s="122"/>
      <c r="E92" s="122"/>
      <c r="F92" s="122"/>
      <c r="G92" s="122"/>
      <c r="H92" s="122"/>
      <c r="I92" s="87"/>
      <c r="J92" s="85"/>
      <c r="K92" s="85"/>
      <c r="L92" s="85"/>
      <c r="M92" s="85"/>
      <c r="N92" s="85"/>
    </row>
    <row r="93" spans="1:14" x14ac:dyDescent="0.25">
      <c r="A93" s="125" t="s">
        <v>580</v>
      </c>
      <c r="B93" s="122"/>
      <c r="C93" s="122"/>
      <c r="D93" s="122"/>
      <c r="E93" s="122"/>
      <c r="F93" s="122"/>
      <c r="G93" s="122"/>
      <c r="H93" s="122"/>
      <c r="I93" s="87">
        <v>209589</v>
      </c>
      <c r="J93" s="85"/>
      <c r="K93" s="85"/>
      <c r="L93" s="85"/>
      <c r="M93" s="85"/>
      <c r="N93" s="85"/>
    </row>
    <row r="94" spans="1:14" x14ac:dyDescent="0.25">
      <c r="A94" s="125" t="s">
        <v>581</v>
      </c>
      <c r="B94" s="122"/>
      <c r="C94" s="122"/>
      <c r="D94" s="122"/>
      <c r="E94" s="122"/>
      <c r="F94" s="122"/>
      <c r="G94" s="122"/>
      <c r="H94" s="122"/>
      <c r="I94" s="87">
        <v>1028</v>
      </c>
      <c r="J94" s="85"/>
      <c r="K94" s="85"/>
      <c r="L94" s="85"/>
      <c r="M94" s="85"/>
      <c r="N94" s="85"/>
    </row>
    <row r="95" spans="1:14" x14ac:dyDescent="0.25">
      <c r="A95" s="125" t="s">
        <v>582</v>
      </c>
      <c r="B95" s="122"/>
      <c r="C95" s="122"/>
      <c r="D95" s="122"/>
      <c r="E95" s="122"/>
      <c r="F95" s="122"/>
      <c r="G95" s="122"/>
      <c r="H95" s="122"/>
      <c r="I95" s="87">
        <v>30531</v>
      </c>
      <c r="J95" s="85"/>
      <c r="K95" s="85"/>
      <c r="L95" s="85"/>
      <c r="M95" s="85"/>
      <c r="N95" s="85"/>
    </row>
    <row r="96" spans="1:14" x14ac:dyDescent="0.25">
      <c r="A96" s="125" t="s">
        <v>583</v>
      </c>
      <c r="B96" s="122"/>
      <c r="C96" s="122"/>
      <c r="D96" s="122"/>
      <c r="E96" s="122"/>
      <c r="F96" s="122"/>
      <c r="G96" s="122"/>
      <c r="H96" s="122"/>
      <c r="I96" s="87">
        <v>9279</v>
      </c>
      <c r="J96" s="85"/>
      <c r="K96" s="85"/>
      <c r="L96" s="85"/>
      <c r="M96" s="85"/>
      <c r="N96" s="85"/>
    </row>
    <row r="97" spans="1:14" x14ac:dyDescent="0.25">
      <c r="A97" s="125" t="s">
        <v>584</v>
      </c>
      <c r="B97" s="122"/>
      <c r="C97" s="122"/>
      <c r="D97" s="122"/>
      <c r="E97" s="122"/>
      <c r="F97" s="122"/>
      <c r="G97" s="122"/>
      <c r="H97" s="122"/>
      <c r="I97" s="87">
        <v>45464</v>
      </c>
      <c r="J97" s="85"/>
      <c r="K97" s="85"/>
      <c r="L97" s="85"/>
      <c r="M97" s="85"/>
      <c r="N97" s="85"/>
    </row>
    <row r="98" spans="1:14" x14ac:dyDescent="0.25">
      <c r="A98" s="125" t="s">
        <v>585</v>
      </c>
      <c r="B98" s="122"/>
      <c r="C98" s="122"/>
      <c r="D98" s="122"/>
      <c r="E98" s="122"/>
      <c r="F98" s="122"/>
      <c r="G98" s="122"/>
      <c r="H98" s="122"/>
      <c r="I98" s="87">
        <v>54022</v>
      </c>
      <c r="J98" s="85"/>
      <c r="K98" s="85"/>
      <c r="L98" s="85"/>
      <c r="M98" s="85"/>
      <c r="N98" s="85"/>
    </row>
    <row r="99" spans="1:14" x14ac:dyDescent="0.25">
      <c r="A99" s="125" t="s">
        <v>586</v>
      </c>
      <c r="B99" s="122"/>
      <c r="C99" s="122"/>
      <c r="D99" s="122"/>
      <c r="E99" s="122"/>
      <c r="F99" s="122"/>
      <c r="G99" s="122"/>
      <c r="H99" s="122"/>
      <c r="I99" s="87">
        <v>1845</v>
      </c>
      <c r="J99" s="85"/>
      <c r="K99" s="85"/>
      <c r="L99" s="85"/>
      <c r="M99" s="85"/>
      <c r="N99" s="85"/>
    </row>
    <row r="100" spans="1:14" x14ac:dyDescent="0.25">
      <c r="A100" s="125" t="s">
        <v>587</v>
      </c>
      <c r="B100" s="122"/>
      <c r="C100" s="122"/>
      <c r="D100" s="122"/>
      <c r="E100" s="122"/>
      <c r="F100" s="122"/>
      <c r="G100" s="122"/>
      <c r="H100" s="122"/>
      <c r="I100" s="87">
        <v>571763</v>
      </c>
      <c r="J100" s="85"/>
      <c r="K100" s="85"/>
      <c r="L100" s="85"/>
      <c r="M100" s="85"/>
      <c r="N100" s="85"/>
    </row>
    <row r="101" spans="1:14" x14ac:dyDescent="0.25">
      <c r="A101" s="125" t="s">
        <v>588</v>
      </c>
      <c r="B101" s="122"/>
      <c r="C101" s="122"/>
      <c r="D101" s="122"/>
      <c r="E101" s="122"/>
      <c r="F101" s="122"/>
      <c r="G101" s="122"/>
      <c r="H101" s="122"/>
      <c r="I101" s="87">
        <v>545478</v>
      </c>
      <c r="J101" s="85"/>
      <c r="K101" s="85"/>
      <c r="L101" s="85"/>
      <c r="M101" s="85"/>
      <c r="N101" s="85"/>
    </row>
    <row r="102" spans="1:14" x14ac:dyDescent="0.25">
      <c r="A102" s="125" t="s">
        <v>579</v>
      </c>
      <c r="B102" s="122"/>
      <c r="C102" s="122"/>
      <c r="D102" s="122"/>
      <c r="E102" s="122"/>
      <c r="F102" s="122"/>
      <c r="G102" s="122"/>
      <c r="H102" s="122"/>
      <c r="I102" s="87"/>
      <c r="J102" s="85"/>
      <c r="K102" s="85"/>
      <c r="L102" s="85"/>
      <c r="M102" s="85"/>
      <c r="N102" s="85"/>
    </row>
    <row r="103" spans="1:14" x14ac:dyDescent="0.25">
      <c r="A103" s="125" t="s">
        <v>589</v>
      </c>
      <c r="B103" s="122"/>
      <c r="C103" s="122"/>
      <c r="D103" s="122"/>
      <c r="E103" s="122"/>
      <c r="F103" s="122"/>
      <c r="G103" s="122"/>
      <c r="H103" s="122"/>
      <c r="I103" s="87">
        <v>152208</v>
      </c>
      <c r="J103" s="85"/>
      <c r="K103" s="85"/>
      <c r="L103" s="85"/>
      <c r="M103" s="85"/>
      <c r="N103" s="85"/>
    </row>
    <row r="104" spans="1:14" x14ac:dyDescent="0.25">
      <c r="A104" s="125" t="s">
        <v>590</v>
      </c>
      <c r="B104" s="122"/>
      <c r="C104" s="122"/>
      <c r="D104" s="122"/>
      <c r="E104" s="122"/>
      <c r="F104" s="122"/>
      <c r="G104" s="122"/>
      <c r="H104" s="122"/>
      <c r="I104" s="87">
        <v>882</v>
      </c>
      <c r="J104" s="85"/>
      <c r="K104" s="85"/>
      <c r="L104" s="85"/>
      <c r="M104" s="85"/>
      <c r="N104" s="85"/>
    </row>
    <row r="105" spans="1:14" x14ac:dyDescent="0.25">
      <c r="A105" s="125" t="s">
        <v>591</v>
      </c>
      <c r="B105" s="122"/>
      <c r="C105" s="122"/>
      <c r="D105" s="122"/>
      <c r="E105" s="122"/>
      <c r="F105" s="122"/>
      <c r="G105" s="122"/>
      <c r="H105" s="122"/>
      <c r="I105" s="87">
        <v>65666</v>
      </c>
      <c r="J105" s="85"/>
      <c r="K105" s="85"/>
      <c r="L105" s="85"/>
      <c r="M105" s="85"/>
      <c r="N105" s="85"/>
    </row>
    <row r="106" spans="1:14" x14ac:dyDescent="0.25">
      <c r="A106" s="125" t="s">
        <v>592</v>
      </c>
      <c r="B106" s="122"/>
      <c r="C106" s="122"/>
      <c r="D106" s="122"/>
      <c r="E106" s="122"/>
      <c r="F106" s="122"/>
      <c r="G106" s="122"/>
      <c r="H106" s="122"/>
      <c r="I106" s="87">
        <v>326722</v>
      </c>
      <c r="J106" s="85"/>
      <c r="K106" s="85"/>
      <c r="L106" s="85"/>
      <c r="M106" s="85"/>
      <c r="N106" s="85"/>
    </row>
    <row r="107" spans="1:14" x14ac:dyDescent="0.25">
      <c r="A107" s="129" t="s">
        <v>593</v>
      </c>
      <c r="B107" s="124"/>
      <c r="C107" s="124"/>
      <c r="D107" s="124"/>
      <c r="E107" s="124"/>
      <c r="F107" s="124"/>
      <c r="G107" s="124"/>
      <c r="H107" s="124"/>
      <c r="I107" s="87"/>
      <c r="J107" s="85"/>
      <c r="K107" s="85"/>
      <c r="L107" s="85"/>
      <c r="M107" s="85"/>
      <c r="N107" s="85"/>
    </row>
    <row r="108" spans="1:14" ht="22.8" x14ac:dyDescent="0.25">
      <c r="A108" s="125" t="s">
        <v>594</v>
      </c>
      <c r="B108" s="122"/>
      <c r="C108" s="122"/>
      <c r="D108" s="122"/>
      <c r="E108" s="122"/>
      <c r="F108" s="122"/>
      <c r="G108" s="122"/>
      <c r="H108" s="122"/>
      <c r="I108" s="87">
        <v>682841</v>
      </c>
      <c r="J108" s="85"/>
      <c r="K108" s="85"/>
      <c r="L108" s="85"/>
      <c r="M108" s="85"/>
      <c r="N108" s="85" t="s">
        <v>595</v>
      </c>
    </row>
    <row r="109" spans="1:14" ht="22.8" x14ac:dyDescent="0.25">
      <c r="A109" s="125" t="s">
        <v>596</v>
      </c>
      <c r="B109" s="122"/>
      <c r="C109" s="122"/>
      <c r="D109" s="122"/>
      <c r="E109" s="122"/>
      <c r="F109" s="122"/>
      <c r="G109" s="122"/>
      <c r="H109" s="122"/>
      <c r="I109" s="87">
        <v>3373732</v>
      </c>
      <c r="J109" s="85"/>
      <c r="K109" s="85"/>
      <c r="L109" s="85"/>
      <c r="M109" s="85"/>
      <c r="N109" s="85" t="s">
        <v>597</v>
      </c>
    </row>
    <row r="110" spans="1:14" x14ac:dyDescent="0.25">
      <c r="A110" s="125" t="s">
        <v>598</v>
      </c>
      <c r="B110" s="122"/>
      <c r="C110" s="122"/>
      <c r="D110" s="122"/>
      <c r="E110" s="122"/>
      <c r="F110" s="122"/>
      <c r="G110" s="122"/>
      <c r="H110" s="122"/>
      <c r="I110" s="87">
        <v>2094596</v>
      </c>
      <c r="J110" s="85"/>
      <c r="K110" s="85"/>
      <c r="L110" s="85"/>
      <c r="M110" s="85"/>
      <c r="N110" s="85"/>
    </row>
    <row r="111" spans="1:14" ht="22.8" x14ac:dyDescent="0.25">
      <c r="A111" s="125" t="s">
        <v>599</v>
      </c>
      <c r="B111" s="122"/>
      <c r="C111" s="122"/>
      <c r="D111" s="122"/>
      <c r="E111" s="122"/>
      <c r="F111" s="122"/>
      <c r="G111" s="122"/>
      <c r="H111" s="122"/>
      <c r="I111" s="87">
        <v>50431</v>
      </c>
      <c r="J111" s="85"/>
      <c r="K111" s="85"/>
      <c r="L111" s="85"/>
      <c r="M111" s="85"/>
      <c r="N111" s="85" t="s">
        <v>600</v>
      </c>
    </row>
    <row r="112" spans="1:14" x14ac:dyDescent="0.25">
      <c r="A112" s="125" t="s">
        <v>601</v>
      </c>
      <c r="B112" s="122"/>
      <c r="C112" s="122"/>
      <c r="D112" s="122"/>
      <c r="E112" s="122"/>
      <c r="F112" s="122"/>
      <c r="G112" s="122"/>
      <c r="H112" s="122"/>
      <c r="I112" s="87">
        <v>467476</v>
      </c>
      <c r="J112" s="85"/>
      <c r="K112" s="85"/>
      <c r="L112" s="85"/>
      <c r="M112" s="85"/>
      <c r="N112" s="85">
        <v>352.35</v>
      </c>
    </row>
    <row r="113" spans="1:14" ht="22.8" x14ac:dyDescent="0.25">
      <c r="A113" s="125" t="s">
        <v>602</v>
      </c>
      <c r="B113" s="122"/>
      <c r="C113" s="122"/>
      <c r="D113" s="122"/>
      <c r="E113" s="122"/>
      <c r="F113" s="122"/>
      <c r="G113" s="122"/>
      <c r="H113" s="122"/>
      <c r="I113" s="87">
        <v>244898</v>
      </c>
      <c r="J113" s="85"/>
      <c r="K113" s="85"/>
      <c r="L113" s="85"/>
      <c r="M113" s="85"/>
      <c r="N113" s="85" t="s">
        <v>603</v>
      </c>
    </row>
    <row r="114" spans="1:14" ht="22.8" x14ac:dyDescent="0.25">
      <c r="A114" s="125" t="s">
        <v>604</v>
      </c>
      <c r="B114" s="122"/>
      <c r="C114" s="122"/>
      <c r="D114" s="122"/>
      <c r="E114" s="122"/>
      <c r="F114" s="122"/>
      <c r="G114" s="122"/>
      <c r="H114" s="122"/>
      <c r="I114" s="87">
        <v>105921</v>
      </c>
      <c r="J114" s="85"/>
      <c r="K114" s="85"/>
      <c r="L114" s="85"/>
      <c r="M114" s="85"/>
      <c r="N114" s="85" t="s">
        <v>551</v>
      </c>
    </row>
    <row r="115" spans="1:14" ht="22.8" x14ac:dyDescent="0.25">
      <c r="A115" s="125" t="s">
        <v>605</v>
      </c>
      <c r="B115" s="122"/>
      <c r="C115" s="122"/>
      <c r="D115" s="122"/>
      <c r="E115" s="122"/>
      <c r="F115" s="122"/>
      <c r="G115" s="122"/>
      <c r="H115" s="122"/>
      <c r="I115" s="87">
        <v>4618</v>
      </c>
      <c r="J115" s="85"/>
      <c r="K115" s="85"/>
      <c r="L115" s="85"/>
      <c r="M115" s="85"/>
      <c r="N115" s="85" t="s">
        <v>606</v>
      </c>
    </row>
    <row r="116" spans="1:14" x14ac:dyDescent="0.25">
      <c r="A116" s="125" t="s">
        <v>607</v>
      </c>
      <c r="B116" s="122"/>
      <c r="C116" s="122"/>
      <c r="D116" s="122"/>
      <c r="E116" s="122"/>
      <c r="F116" s="122"/>
      <c r="G116" s="122"/>
      <c r="H116" s="122"/>
      <c r="I116" s="87">
        <v>7610</v>
      </c>
      <c r="J116" s="85"/>
      <c r="K116" s="85"/>
      <c r="L116" s="85"/>
      <c r="M116" s="85"/>
      <c r="N116" s="85">
        <v>13.38</v>
      </c>
    </row>
    <row r="117" spans="1:14" ht="22.8" x14ac:dyDescent="0.25">
      <c r="A117" s="125" t="s">
        <v>608</v>
      </c>
      <c r="B117" s="122"/>
      <c r="C117" s="122"/>
      <c r="D117" s="122"/>
      <c r="E117" s="122"/>
      <c r="F117" s="122"/>
      <c r="G117" s="122"/>
      <c r="H117" s="122"/>
      <c r="I117" s="87">
        <v>7032123</v>
      </c>
      <c r="J117" s="85"/>
      <c r="K117" s="85"/>
      <c r="L117" s="85"/>
      <c r="M117" s="85"/>
      <c r="N117" s="85" t="s">
        <v>577</v>
      </c>
    </row>
    <row r="118" spans="1:14" x14ac:dyDescent="0.25">
      <c r="A118" s="125" t="s">
        <v>609</v>
      </c>
      <c r="B118" s="122"/>
      <c r="C118" s="122"/>
      <c r="D118" s="122"/>
      <c r="E118" s="122"/>
      <c r="F118" s="122"/>
      <c r="G118" s="122"/>
      <c r="H118" s="122"/>
      <c r="I118" s="87"/>
      <c r="J118" s="85"/>
      <c r="K118" s="85"/>
      <c r="L118" s="85"/>
      <c r="M118" s="85"/>
      <c r="N118" s="85"/>
    </row>
    <row r="119" spans="1:14" x14ac:dyDescent="0.25">
      <c r="A119" s="125" t="s">
        <v>610</v>
      </c>
      <c r="B119" s="122"/>
      <c r="C119" s="122"/>
      <c r="D119" s="122"/>
      <c r="E119" s="122"/>
      <c r="F119" s="122"/>
      <c r="G119" s="122"/>
      <c r="H119" s="122"/>
      <c r="I119" s="87">
        <v>4329953</v>
      </c>
      <c r="J119" s="85"/>
      <c r="K119" s="85"/>
      <c r="L119" s="85"/>
      <c r="M119" s="85"/>
      <c r="N119" s="85"/>
    </row>
    <row r="120" spans="1:14" x14ac:dyDescent="0.25">
      <c r="A120" s="125" t="s">
        <v>611</v>
      </c>
      <c r="B120" s="122"/>
      <c r="C120" s="122"/>
      <c r="D120" s="122"/>
      <c r="E120" s="122"/>
      <c r="F120" s="122"/>
      <c r="G120" s="122"/>
      <c r="H120" s="122"/>
      <c r="I120" s="87">
        <v>172051</v>
      </c>
      <c r="J120" s="85"/>
      <c r="K120" s="85"/>
      <c r="L120" s="85"/>
      <c r="M120" s="85"/>
      <c r="N120" s="85"/>
    </row>
    <row r="121" spans="1:14" x14ac:dyDescent="0.25">
      <c r="A121" s="125" t="s">
        <v>612</v>
      </c>
      <c r="B121" s="122"/>
      <c r="C121" s="122"/>
      <c r="D121" s="122"/>
      <c r="E121" s="122"/>
      <c r="F121" s="122"/>
      <c r="G121" s="122"/>
      <c r="H121" s="122"/>
      <c r="I121" s="87">
        <v>1102807</v>
      </c>
      <c r="J121" s="85"/>
      <c r="K121" s="85"/>
      <c r="L121" s="85"/>
      <c r="M121" s="85"/>
      <c r="N121" s="85"/>
    </row>
    <row r="122" spans="1:14" x14ac:dyDescent="0.25">
      <c r="A122" s="125" t="s">
        <v>613</v>
      </c>
      <c r="B122" s="122"/>
      <c r="C122" s="122"/>
      <c r="D122" s="122"/>
      <c r="E122" s="122"/>
      <c r="F122" s="122"/>
      <c r="G122" s="122"/>
      <c r="H122" s="122"/>
      <c r="I122" s="87">
        <v>923521</v>
      </c>
      <c r="J122" s="85"/>
      <c r="K122" s="85"/>
      <c r="L122" s="85"/>
      <c r="M122" s="85"/>
      <c r="N122" s="85"/>
    </row>
    <row r="123" spans="1:14" x14ac:dyDescent="0.25">
      <c r="A123" s="125" t="s">
        <v>614</v>
      </c>
      <c r="B123" s="122"/>
      <c r="C123" s="122"/>
      <c r="D123" s="122"/>
      <c r="E123" s="122"/>
      <c r="F123" s="122"/>
      <c r="G123" s="122"/>
      <c r="H123" s="122"/>
      <c r="I123" s="87">
        <v>545478</v>
      </c>
      <c r="J123" s="85"/>
      <c r="K123" s="85"/>
      <c r="L123" s="85"/>
      <c r="M123" s="85"/>
      <c r="N123" s="85"/>
    </row>
    <row r="124" spans="1:14" ht="22.8" x14ac:dyDescent="0.25">
      <c r="A124" s="127" t="s">
        <v>615</v>
      </c>
      <c r="B124" s="128"/>
      <c r="C124" s="128"/>
      <c r="D124" s="128"/>
      <c r="E124" s="128"/>
      <c r="F124" s="128"/>
      <c r="G124" s="128"/>
      <c r="H124" s="128"/>
      <c r="I124" s="92">
        <v>7032123</v>
      </c>
      <c r="J124" s="90"/>
      <c r="K124" s="90"/>
      <c r="L124" s="90"/>
      <c r="M124" s="90"/>
      <c r="N124" s="90" t="s">
        <v>577</v>
      </c>
    </row>
    <row r="125" spans="1:14" ht="17.850000000000001" customHeight="1" x14ac:dyDescent="0.25">
      <c r="A125" s="130" t="s">
        <v>616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</row>
    <row r="126" spans="1:14" ht="17.850000000000001" customHeight="1" x14ac:dyDescent="0.25">
      <c r="A126" s="126" t="s">
        <v>617</v>
      </c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</row>
    <row r="127" spans="1:14" ht="57" x14ac:dyDescent="0.25">
      <c r="A127" s="83">
        <v>62</v>
      </c>
      <c r="B127" s="84" t="s">
        <v>618</v>
      </c>
      <c r="C127" s="84" t="s">
        <v>619</v>
      </c>
      <c r="D127" s="83" t="s">
        <v>620</v>
      </c>
      <c r="E127" s="85" t="s">
        <v>621</v>
      </c>
      <c r="F127" s="85"/>
      <c r="G127" s="85"/>
      <c r="H127" s="86" t="s">
        <v>622</v>
      </c>
      <c r="I127" s="87">
        <v>2732</v>
      </c>
      <c r="J127" s="85">
        <v>2732</v>
      </c>
      <c r="K127" s="85"/>
      <c r="L127" s="85" t="str">
        <f>IF(0.02*0=0," ",TEXT(,ROUND((0.02*0*1),2)))</f>
        <v xml:space="preserve"> </v>
      </c>
      <c r="M127" s="85">
        <v>912.4</v>
      </c>
      <c r="N127" s="85">
        <v>18.25</v>
      </c>
    </row>
    <row r="128" spans="1:14" ht="57" x14ac:dyDescent="0.25">
      <c r="A128" s="83">
        <v>63</v>
      </c>
      <c r="B128" s="84" t="s">
        <v>623</v>
      </c>
      <c r="C128" s="84" t="s">
        <v>624</v>
      </c>
      <c r="D128" s="83" t="s">
        <v>625</v>
      </c>
      <c r="E128" s="85" t="s">
        <v>626</v>
      </c>
      <c r="F128" s="85"/>
      <c r="G128" s="85"/>
      <c r="H128" s="86" t="s">
        <v>627</v>
      </c>
      <c r="I128" s="87">
        <v>917</v>
      </c>
      <c r="J128" s="85">
        <v>917</v>
      </c>
      <c r="K128" s="85"/>
      <c r="L128" s="85" t="str">
        <f>IF(0.04*0=0," ",TEXT(,ROUND((0.04*0*1),2)))</f>
        <v xml:space="preserve"> </v>
      </c>
      <c r="M128" s="85">
        <v>159</v>
      </c>
      <c r="N128" s="85">
        <v>6.36</v>
      </c>
    </row>
    <row r="129" spans="1:14" ht="102.6" x14ac:dyDescent="0.25">
      <c r="A129" s="83">
        <v>64</v>
      </c>
      <c r="B129" s="84" t="s">
        <v>327</v>
      </c>
      <c r="C129" s="84" t="s">
        <v>328</v>
      </c>
      <c r="D129" s="83" t="s">
        <v>628</v>
      </c>
      <c r="E129" s="85" t="s">
        <v>329</v>
      </c>
      <c r="F129" s="85">
        <v>16.32</v>
      </c>
      <c r="G129" s="85">
        <v>30.33</v>
      </c>
      <c r="H129" s="86" t="s">
        <v>330</v>
      </c>
      <c r="I129" s="87">
        <v>3545</v>
      </c>
      <c r="J129" s="85">
        <v>3389</v>
      </c>
      <c r="K129" s="85">
        <v>104</v>
      </c>
      <c r="L129" s="85" t="str">
        <f>IF(0.36*30.33=0," ",TEXT(,ROUND((0.36*30.33*4.78),2)))</f>
        <v>52,19</v>
      </c>
      <c r="M129" s="85">
        <v>65.3</v>
      </c>
      <c r="N129" s="85">
        <v>23.51</v>
      </c>
    </row>
    <row r="130" spans="1:14" ht="159.6" x14ac:dyDescent="0.25">
      <c r="A130" s="83">
        <v>65</v>
      </c>
      <c r="B130" s="84" t="s">
        <v>629</v>
      </c>
      <c r="C130" s="84" t="s">
        <v>630</v>
      </c>
      <c r="D130" s="83" t="s">
        <v>631</v>
      </c>
      <c r="E130" s="85" t="s">
        <v>632</v>
      </c>
      <c r="F130" s="85" t="s">
        <v>633</v>
      </c>
      <c r="G130" s="85"/>
      <c r="H130" s="86" t="s">
        <v>634</v>
      </c>
      <c r="I130" s="87">
        <v>1874</v>
      </c>
      <c r="J130" s="85">
        <v>1780</v>
      </c>
      <c r="K130" s="85" t="s">
        <v>635</v>
      </c>
      <c r="L130" s="85" t="str">
        <f>IF(2*0=0," ",TEXT(,ROUND((2*0*4.36),2)))</f>
        <v xml:space="preserve"> </v>
      </c>
      <c r="M130" s="85" t="s">
        <v>636</v>
      </c>
      <c r="N130" s="85" t="s">
        <v>637</v>
      </c>
    </row>
    <row r="131" spans="1:14" ht="171" x14ac:dyDescent="0.25">
      <c r="A131" s="83">
        <v>66</v>
      </c>
      <c r="B131" s="84" t="s">
        <v>638</v>
      </c>
      <c r="C131" s="84" t="s">
        <v>639</v>
      </c>
      <c r="D131" s="83" t="s">
        <v>631</v>
      </c>
      <c r="E131" s="85" t="s">
        <v>640</v>
      </c>
      <c r="F131" s="85" t="s">
        <v>641</v>
      </c>
      <c r="G131" s="85"/>
      <c r="H131" s="86" t="s">
        <v>642</v>
      </c>
      <c r="I131" s="87">
        <v>1654</v>
      </c>
      <c r="J131" s="85">
        <v>1204</v>
      </c>
      <c r="K131" s="85" t="s">
        <v>643</v>
      </c>
      <c r="L131" s="85" t="str">
        <f>IF(2*0=0," ",TEXT(,ROUND((2*0*2.35),2)))</f>
        <v xml:space="preserve"> </v>
      </c>
      <c r="M131" s="85" t="s">
        <v>644</v>
      </c>
      <c r="N131" s="85" t="s">
        <v>645</v>
      </c>
    </row>
    <row r="132" spans="1:14" ht="159.6" x14ac:dyDescent="0.25">
      <c r="A132" s="83">
        <v>67</v>
      </c>
      <c r="B132" s="84" t="s">
        <v>646</v>
      </c>
      <c r="C132" s="84" t="s">
        <v>647</v>
      </c>
      <c r="D132" s="83" t="s">
        <v>631</v>
      </c>
      <c r="E132" s="85" t="s">
        <v>648</v>
      </c>
      <c r="F132" s="85"/>
      <c r="G132" s="85"/>
      <c r="H132" s="86" t="s">
        <v>649</v>
      </c>
      <c r="I132" s="87">
        <v>104</v>
      </c>
      <c r="J132" s="85">
        <v>104</v>
      </c>
      <c r="K132" s="85"/>
      <c r="L132" s="85" t="str">
        <f>IF(2*0=0," ",TEXT(,ROUND((2*0*4.55),2)))</f>
        <v xml:space="preserve"> </v>
      </c>
      <c r="M132" s="85">
        <v>0.31</v>
      </c>
      <c r="N132" s="85">
        <v>0.62</v>
      </c>
    </row>
    <row r="133" spans="1:14" ht="17.850000000000001" customHeight="1" x14ac:dyDescent="0.25">
      <c r="A133" s="126" t="s">
        <v>650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</row>
    <row r="134" spans="1:14" ht="148.19999999999999" x14ac:dyDescent="0.25">
      <c r="A134" s="83">
        <v>68</v>
      </c>
      <c r="B134" s="84" t="s">
        <v>344</v>
      </c>
      <c r="C134" s="84" t="s">
        <v>345</v>
      </c>
      <c r="D134" s="83" t="s">
        <v>651</v>
      </c>
      <c r="E134" s="85" t="s">
        <v>346</v>
      </c>
      <c r="F134" s="85" t="s">
        <v>339</v>
      </c>
      <c r="G134" s="85">
        <v>6240.25</v>
      </c>
      <c r="H134" s="86" t="s">
        <v>347</v>
      </c>
      <c r="I134" s="87">
        <v>12016</v>
      </c>
      <c r="J134" s="85">
        <v>3631</v>
      </c>
      <c r="K134" s="85" t="s">
        <v>652</v>
      </c>
      <c r="L134" s="85" t="str">
        <f>IF(0.24*6240.25=0," ",TEXT(,ROUND((0.24*6240.25*5.08),2)))</f>
        <v>7608,11</v>
      </c>
      <c r="M134" s="85" t="s">
        <v>342</v>
      </c>
      <c r="N134" s="85" t="s">
        <v>653</v>
      </c>
    </row>
    <row r="135" spans="1:14" ht="148.19999999999999" x14ac:dyDescent="0.25">
      <c r="A135" s="83">
        <v>69</v>
      </c>
      <c r="B135" s="84" t="s">
        <v>350</v>
      </c>
      <c r="C135" s="84" t="s">
        <v>351</v>
      </c>
      <c r="D135" s="83" t="s">
        <v>654</v>
      </c>
      <c r="E135" s="85" t="s">
        <v>352</v>
      </c>
      <c r="F135" s="85" t="s">
        <v>353</v>
      </c>
      <c r="G135" s="85">
        <v>5353.21</v>
      </c>
      <c r="H135" s="86" t="s">
        <v>354</v>
      </c>
      <c r="I135" s="87">
        <v>5167</v>
      </c>
      <c r="J135" s="85">
        <v>1643</v>
      </c>
      <c r="K135" s="85" t="s">
        <v>655</v>
      </c>
      <c r="L135" s="85" t="str">
        <f>IF(0.12*5353.21=0," ",TEXT(,ROUND((0.12*5353.21*5.06),2)))</f>
        <v>3250,47</v>
      </c>
      <c r="M135" s="85" t="s">
        <v>356</v>
      </c>
      <c r="N135" s="85" t="s">
        <v>656</v>
      </c>
    </row>
    <row r="136" spans="1:14" ht="148.19999999999999" x14ac:dyDescent="0.25">
      <c r="A136" s="83">
        <v>70</v>
      </c>
      <c r="B136" s="84" t="s">
        <v>380</v>
      </c>
      <c r="C136" s="84" t="s">
        <v>381</v>
      </c>
      <c r="D136" s="83" t="s">
        <v>625</v>
      </c>
      <c r="E136" s="85" t="s">
        <v>382</v>
      </c>
      <c r="F136" s="85" t="s">
        <v>369</v>
      </c>
      <c r="G136" s="85">
        <v>2578.88</v>
      </c>
      <c r="H136" s="86" t="s">
        <v>383</v>
      </c>
      <c r="I136" s="87">
        <v>839</v>
      </c>
      <c r="J136" s="85">
        <v>247</v>
      </c>
      <c r="K136" s="85" t="s">
        <v>657</v>
      </c>
      <c r="L136" s="85" t="str">
        <f>IF(0.04*2578.88=0," ",TEXT(,ROUND((0.04*2578.88*5.47),2)))</f>
        <v>564,26</v>
      </c>
      <c r="M136" s="85" t="s">
        <v>372</v>
      </c>
      <c r="N136" s="85" t="s">
        <v>658</v>
      </c>
    </row>
    <row r="137" spans="1:14" ht="148.19999999999999" x14ac:dyDescent="0.25">
      <c r="A137" s="83">
        <v>71</v>
      </c>
      <c r="B137" s="84" t="s">
        <v>392</v>
      </c>
      <c r="C137" s="84" t="s">
        <v>393</v>
      </c>
      <c r="D137" s="83" t="s">
        <v>659</v>
      </c>
      <c r="E137" s="85" t="s">
        <v>394</v>
      </c>
      <c r="F137" s="85" t="s">
        <v>369</v>
      </c>
      <c r="G137" s="85">
        <v>1988.81</v>
      </c>
      <c r="H137" s="86" t="s">
        <v>395</v>
      </c>
      <c r="I137" s="87">
        <v>1025</v>
      </c>
      <c r="J137" s="85">
        <v>370</v>
      </c>
      <c r="K137" s="85" t="s">
        <v>660</v>
      </c>
      <c r="L137" s="85" t="str">
        <f>IF(0.06*1988.81=0," ",TEXT(,ROUND((0.06*1988.81*5.14),2)))</f>
        <v>613,35</v>
      </c>
      <c r="M137" s="85" t="s">
        <v>372</v>
      </c>
      <c r="N137" s="85" t="s">
        <v>661</v>
      </c>
    </row>
    <row r="138" spans="1:14" ht="159.6" x14ac:dyDescent="0.25">
      <c r="A138" s="83">
        <v>72</v>
      </c>
      <c r="B138" s="84" t="s">
        <v>662</v>
      </c>
      <c r="C138" s="84" t="s">
        <v>663</v>
      </c>
      <c r="D138" s="83" t="s">
        <v>625</v>
      </c>
      <c r="E138" s="85" t="s">
        <v>664</v>
      </c>
      <c r="F138" s="85" t="s">
        <v>665</v>
      </c>
      <c r="G138" s="85">
        <v>7335.38</v>
      </c>
      <c r="H138" s="86" t="s">
        <v>666</v>
      </c>
      <c r="I138" s="87">
        <v>2480</v>
      </c>
      <c r="J138" s="85">
        <v>436</v>
      </c>
      <c r="K138" s="85" t="s">
        <v>667</v>
      </c>
      <c r="L138" s="85" t="str">
        <f>IF(0.04*7335.38=0," ",TEXT(,ROUND((0.04*7335.38*6.7),2)))</f>
        <v>1965,88</v>
      </c>
      <c r="M138" s="85" t="s">
        <v>668</v>
      </c>
      <c r="N138" s="85" t="s">
        <v>669</v>
      </c>
    </row>
    <row r="139" spans="1:14" ht="159.6" x14ac:dyDescent="0.25">
      <c r="A139" s="83">
        <v>73</v>
      </c>
      <c r="B139" s="84" t="s">
        <v>670</v>
      </c>
      <c r="C139" s="84" t="s">
        <v>671</v>
      </c>
      <c r="D139" s="83" t="s">
        <v>654</v>
      </c>
      <c r="E139" s="85" t="s">
        <v>672</v>
      </c>
      <c r="F139" s="85" t="s">
        <v>673</v>
      </c>
      <c r="G139" s="85">
        <v>6085.07</v>
      </c>
      <c r="H139" s="86" t="s">
        <v>674</v>
      </c>
      <c r="I139" s="87">
        <v>5896</v>
      </c>
      <c r="J139" s="85">
        <v>1069</v>
      </c>
      <c r="K139" s="85" t="s">
        <v>675</v>
      </c>
      <c r="L139" s="85" t="str">
        <f>IF(0.12*6085.07=0," ",TEXT(,ROUND((0.12*6085.07*6.37),2)))</f>
        <v>4651,43</v>
      </c>
      <c r="M139" s="85" t="s">
        <v>676</v>
      </c>
      <c r="N139" s="85" t="s">
        <v>677</v>
      </c>
    </row>
    <row r="140" spans="1:14" ht="159.6" x14ac:dyDescent="0.25">
      <c r="A140" s="83">
        <v>74</v>
      </c>
      <c r="B140" s="84" t="s">
        <v>678</v>
      </c>
      <c r="C140" s="84" t="s">
        <v>679</v>
      </c>
      <c r="D140" s="83" t="s">
        <v>680</v>
      </c>
      <c r="E140" s="85" t="s">
        <v>681</v>
      </c>
      <c r="F140" s="85" t="s">
        <v>682</v>
      </c>
      <c r="G140" s="85">
        <v>4319.0600000000004</v>
      </c>
      <c r="H140" s="86" t="s">
        <v>683</v>
      </c>
      <c r="I140" s="87">
        <v>2807</v>
      </c>
      <c r="J140" s="85">
        <v>554</v>
      </c>
      <c r="K140" s="85" t="s">
        <v>684</v>
      </c>
      <c r="L140" s="85" t="str">
        <f>IF(0.08*4319.06=0," ",TEXT(,ROUND((0.08*4319.06*6.33),2)))</f>
        <v>2187,17</v>
      </c>
      <c r="M140" s="85" t="s">
        <v>685</v>
      </c>
      <c r="N140" s="85" t="s">
        <v>686</v>
      </c>
    </row>
    <row r="141" spans="1:14" ht="159.6" x14ac:dyDescent="0.25">
      <c r="A141" s="83">
        <v>75</v>
      </c>
      <c r="B141" s="84" t="s">
        <v>398</v>
      </c>
      <c r="C141" s="84" t="s">
        <v>399</v>
      </c>
      <c r="D141" s="83" t="s">
        <v>687</v>
      </c>
      <c r="E141" s="85" t="s">
        <v>400</v>
      </c>
      <c r="F141" s="85">
        <v>55.64</v>
      </c>
      <c r="G141" s="85">
        <v>11.11</v>
      </c>
      <c r="H141" s="86" t="s">
        <v>401</v>
      </c>
      <c r="I141" s="87">
        <v>513</v>
      </c>
      <c r="J141" s="85">
        <v>453</v>
      </c>
      <c r="K141" s="85">
        <v>16</v>
      </c>
      <c r="L141" s="85" t="str">
        <f>IF(0.4*11.11=0," ",TEXT(,ROUND((0.4*11.11*9.91),2)))</f>
        <v>44,04</v>
      </c>
      <c r="M141" s="85">
        <v>5.76</v>
      </c>
      <c r="N141" s="85">
        <v>2.2999999999999998</v>
      </c>
    </row>
    <row r="142" spans="1:14" ht="159.6" x14ac:dyDescent="0.25">
      <c r="A142" s="83">
        <v>76</v>
      </c>
      <c r="B142" s="84" t="s">
        <v>402</v>
      </c>
      <c r="C142" s="84" t="s">
        <v>403</v>
      </c>
      <c r="D142" s="83" t="s">
        <v>688</v>
      </c>
      <c r="E142" s="85" t="s">
        <v>404</v>
      </c>
      <c r="F142" s="85">
        <v>55.64</v>
      </c>
      <c r="G142" s="85">
        <v>4.28</v>
      </c>
      <c r="H142" s="86" t="s">
        <v>405</v>
      </c>
      <c r="I142" s="87">
        <v>362</v>
      </c>
      <c r="J142" s="85">
        <v>340</v>
      </c>
      <c r="K142" s="85">
        <v>12</v>
      </c>
      <c r="L142" s="85" t="str">
        <f>IF(0.3*4.28=0," ",TEXT(,ROUND((0.3*4.28*7.41),2)))</f>
        <v>9,51</v>
      </c>
      <c r="M142" s="85">
        <v>5.76</v>
      </c>
      <c r="N142" s="85">
        <v>1.73</v>
      </c>
    </row>
    <row r="143" spans="1:14" ht="57" x14ac:dyDescent="0.25">
      <c r="A143" s="83">
        <v>77</v>
      </c>
      <c r="B143" s="84" t="s">
        <v>406</v>
      </c>
      <c r="C143" s="84" t="s">
        <v>407</v>
      </c>
      <c r="D143" s="83" t="s">
        <v>689</v>
      </c>
      <c r="E143" s="85">
        <v>11.99</v>
      </c>
      <c r="F143" s="85"/>
      <c r="G143" s="85">
        <v>11.99</v>
      </c>
      <c r="H143" s="86" t="s">
        <v>408</v>
      </c>
      <c r="I143" s="87">
        <v>7478</v>
      </c>
      <c r="J143" s="85"/>
      <c r="K143" s="85"/>
      <c r="L143" s="85" t="str">
        <f>IF(190*11.99=0," ",TEXT(,ROUND((190*11.99*3.283),2)))</f>
        <v>7479</v>
      </c>
      <c r="M143" s="85"/>
      <c r="N143" s="85"/>
    </row>
    <row r="144" spans="1:14" ht="49.5" customHeight="1" x14ac:dyDescent="0.25">
      <c r="A144" s="83">
        <v>78</v>
      </c>
      <c r="B144" s="84" t="s">
        <v>690</v>
      </c>
      <c r="C144" s="84" t="s">
        <v>691</v>
      </c>
      <c r="D144" s="83" t="s">
        <v>692</v>
      </c>
      <c r="E144" s="85">
        <v>98.31</v>
      </c>
      <c r="F144" s="85"/>
      <c r="G144" s="85">
        <v>98.31</v>
      </c>
      <c r="H144" s="86" t="s">
        <v>411</v>
      </c>
      <c r="I144" s="87">
        <v>3280</v>
      </c>
      <c r="J144" s="85"/>
      <c r="K144" s="85"/>
      <c r="L144" s="85" t="str">
        <f>IF(6*98.31=0," ",TEXT(,ROUND((6*98.31*5.56),2)))</f>
        <v>3279,62</v>
      </c>
      <c r="M144" s="85"/>
      <c r="N144" s="85"/>
    </row>
    <row r="145" spans="1:14" ht="50.25" customHeight="1" x14ac:dyDescent="0.25">
      <c r="A145" s="83">
        <v>79</v>
      </c>
      <c r="B145" s="84" t="s">
        <v>690</v>
      </c>
      <c r="C145" s="84" t="s">
        <v>693</v>
      </c>
      <c r="D145" s="83" t="s">
        <v>694</v>
      </c>
      <c r="E145" s="85">
        <v>58.99</v>
      </c>
      <c r="F145" s="85"/>
      <c r="G145" s="85">
        <v>58.99</v>
      </c>
      <c r="H145" s="86" t="s">
        <v>411</v>
      </c>
      <c r="I145" s="87">
        <v>3280</v>
      </c>
      <c r="J145" s="85"/>
      <c r="K145" s="85"/>
      <c r="L145" s="85" t="str">
        <f>IF(10*58.99=0," ",TEXT(,ROUND((10*58.99*5.56),2)))</f>
        <v>3279,84</v>
      </c>
      <c r="M145" s="85"/>
      <c r="N145" s="85"/>
    </row>
    <row r="146" spans="1:14" ht="50.25" customHeight="1" x14ac:dyDescent="0.25">
      <c r="A146" s="83">
        <v>80</v>
      </c>
      <c r="B146" s="84" t="s">
        <v>690</v>
      </c>
      <c r="C146" s="84" t="s">
        <v>695</v>
      </c>
      <c r="D146" s="83" t="s">
        <v>696</v>
      </c>
      <c r="E146" s="85">
        <v>19.2</v>
      </c>
      <c r="F146" s="85"/>
      <c r="G146" s="85">
        <v>19.2</v>
      </c>
      <c r="H146" s="86" t="s">
        <v>411</v>
      </c>
      <c r="I146" s="87">
        <v>1281</v>
      </c>
      <c r="J146" s="85"/>
      <c r="K146" s="85"/>
      <c r="L146" s="85" t="str">
        <f>IF(12*19.2=0," ",TEXT(,ROUND((12*19.2*5.56),2)))</f>
        <v>1281,02</v>
      </c>
      <c r="M146" s="85"/>
      <c r="N146" s="85"/>
    </row>
    <row r="147" spans="1:14" ht="68.400000000000006" x14ac:dyDescent="0.25">
      <c r="A147" s="83">
        <v>81</v>
      </c>
      <c r="B147" s="84" t="s">
        <v>697</v>
      </c>
      <c r="C147" s="84" t="s">
        <v>698</v>
      </c>
      <c r="D147" s="83" t="s">
        <v>699</v>
      </c>
      <c r="E147" s="85">
        <v>26</v>
      </c>
      <c r="F147" s="85"/>
      <c r="G147" s="85">
        <v>26</v>
      </c>
      <c r="H147" s="86" t="s">
        <v>411</v>
      </c>
      <c r="I147" s="87">
        <v>7517</v>
      </c>
      <c r="J147" s="85"/>
      <c r="K147" s="85"/>
      <c r="L147" s="85" t="str">
        <f>IF(52*26=0," ",TEXT(,ROUND((52*26*5.56),2)))</f>
        <v>7517,12</v>
      </c>
      <c r="M147" s="85"/>
      <c r="N147" s="85"/>
    </row>
    <row r="148" spans="1:14" ht="45.6" x14ac:dyDescent="0.25">
      <c r="A148" s="83">
        <v>82</v>
      </c>
      <c r="B148" s="84" t="s">
        <v>420</v>
      </c>
      <c r="C148" s="84" t="s">
        <v>700</v>
      </c>
      <c r="D148" s="83" t="s">
        <v>631</v>
      </c>
      <c r="E148" s="85">
        <v>91.45</v>
      </c>
      <c r="F148" s="85"/>
      <c r="G148" s="85">
        <v>91.45</v>
      </c>
      <c r="H148" s="86" t="s">
        <v>411</v>
      </c>
      <c r="I148" s="87">
        <v>1017</v>
      </c>
      <c r="J148" s="85"/>
      <c r="K148" s="85"/>
      <c r="L148" s="85" t="str">
        <f>IF(2*91.45=0," ",TEXT(,ROUND((2*91.45*5.56),2)))</f>
        <v>1016,92</v>
      </c>
      <c r="M148" s="85"/>
      <c r="N148" s="85"/>
    </row>
    <row r="149" spans="1:14" ht="45.6" x14ac:dyDescent="0.25">
      <c r="A149" s="83">
        <v>83</v>
      </c>
      <c r="B149" s="84" t="s">
        <v>701</v>
      </c>
      <c r="C149" s="84" t="s">
        <v>702</v>
      </c>
      <c r="D149" s="83" t="s">
        <v>703</v>
      </c>
      <c r="E149" s="85">
        <v>349.65</v>
      </c>
      <c r="F149" s="85"/>
      <c r="G149" s="85">
        <v>349.65</v>
      </c>
      <c r="H149" s="86" t="s">
        <v>411</v>
      </c>
      <c r="I149" s="87">
        <v>7776</v>
      </c>
      <c r="J149" s="85"/>
      <c r="K149" s="85"/>
      <c r="L149" s="85" t="str">
        <f>IF(4*349.65=0," ",TEXT(,ROUND((4*349.65*5.56),2)))</f>
        <v>7776,22</v>
      </c>
      <c r="M149" s="85"/>
      <c r="N149" s="85"/>
    </row>
    <row r="150" spans="1:14" ht="57" x14ac:dyDescent="0.25">
      <c r="A150" s="83">
        <v>84</v>
      </c>
      <c r="B150" s="84" t="s">
        <v>420</v>
      </c>
      <c r="C150" s="84" t="s">
        <v>421</v>
      </c>
      <c r="D150" s="83" t="s">
        <v>704</v>
      </c>
      <c r="E150" s="85">
        <v>325.87</v>
      </c>
      <c r="F150" s="85"/>
      <c r="G150" s="85">
        <v>325.87</v>
      </c>
      <c r="H150" s="86" t="s">
        <v>411</v>
      </c>
      <c r="I150" s="87">
        <v>25366</v>
      </c>
      <c r="J150" s="85"/>
      <c r="K150" s="85"/>
      <c r="L150" s="85" t="str">
        <f>IF(14*325.87=0," ",TEXT(,ROUND((14*325.87*5.56),2)))</f>
        <v>25365,72</v>
      </c>
      <c r="M150" s="85"/>
      <c r="N150" s="85"/>
    </row>
    <row r="151" spans="1:14" ht="57" x14ac:dyDescent="0.25">
      <c r="A151" s="83">
        <v>85</v>
      </c>
      <c r="B151" s="84" t="s">
        <v>420</v>
      </c>
      <c r="C151" s="84" t="s">
        <v>705</v>
      </c>
      <c r="D151" s="83" t="s">
        <v>692</v>
      </c>
      <c r="E151" s="85">
        <v>371.6</v>
      </c>
      <c r="F151" s="85"/>
      <c r="G151" s="85">
        <v>371.6</v>
      </c>
      <c r="H151" s="86" t="s">
        <v>411</v>
      </c>
      <c r="I151" s="87">
        <v>12397</v>
      </c>
      <c r="J151" s="85"/>
      <c r="K151" s="85"/>
      <c r="L151" s="85" t="str">
        <f>IF(6*371.6=0," ",TEXT(,ROUND((6*371.6*5.56),2)))</f>
        <v>12396,58</v>
      </c>
      <c r="M151" s="85"/>
      <c r="N151" s="85"/>
    </row>
    <row r="152" spans="1:14" ht="45.6" x14ac:dyDescent="0.25">
      <c r="A152" s="83">
        <v>86</v>
      </c>
      <c r="B152" s="84" t="s">
        <v>701</v>
      </c>
      <c r="C152" s="84" t="s">
        <v>706</v>
      </c>
      <c r="D152" s="83" t="s">
        <v>631</v>
      </c>
      <c r="E152" s="85">
        <v>280.91000000000003</v>
      </c>
      <c r="F152" s="85"/>
      <c r="G152" s="85">
        <v>280.91000000000003</v>
      </c>
      <c r="H152" s="86" t="s">
        <v>411</v>
      </c>
      <c r="I152" s="87">
        <v>3124</v>
      </c>
      <c r="J152" s="85"/>
      <c r="K152" s="85"/>
      <c r="L152" s="85" t="str">
        <f>IF(2*280.91=0," ",TEXT(,ROUND((2*280.91*5.56),2)))</f>
        <v>3123,72</v>
      </c>
      <c r="M152" s="85"/>
      <c r="N152" s="85"/>
    </row>
    <row r="153" spans="1:14" ht="57" x14ac:dyDescent="0.25">
      <c r="A153" s="83">
        <v>87</v>
      </c>
      <c r="B153" s="84" t="s">
        <v>420</v>
      </c>
      <c r="C153" s="84" t="s">
        <v>422</v>
      </c>
      <c r="D153" s="83" t="s">
        <v>631</v>
      </c>
      <c r="E153" s="85">
        <v>271.92</v>
      </c>
      <c r="F153" s="85"/>
      <c r="G153" s="85">
        <v>271.92</v>
      </c>
      <c r="H153" s="86" t="s">
        <v>411</v>
      </c>
      <c r="I153" s="87">
        <v>3024</v>
      </c>
      <c r="J153" s="85"/>
      <c r="K153" s="85"/>
      <c r="L153" s="85" t="str">
        <f>IF(2*271.92=0," ",TEXT(,ROUND((2*271.92*5.56),2)))</f>
        <v>3023,75</v>
      </c>
      <c r="M153" s="85"/>
      <c r="N153" s="85"/>
    </row>
    <row r="154" spans="1:14" ht="57" x14ac:dyDescent="0.25">
      <c r="A154" s="83">
        <v>88</v>
      </c>
      <c r="B154" s="84" t="s">
        <v>420</v>
      </c>
      <c r="C154" s="84" t="s">
        <v>707</v>
      </c>
      <c r="D154" s="83" t="s">
        <v>692</v>
      </c>
      <c r="E154" s="85">
        <v>252.71</v>
      </c>
      <c r="F154" s="85"/>
      <c r="G154" s="85">
        <v>252.71</v>
      </c>
      <c r="H154" s="86" t="s">
        <v>411</v>
      </c>
      <c r="I154" s="87">
        <v>8430</v>
      </c>
      <c r="J154" s="85"/>
      <c r="K154" s="85"/>
      <c r="L154" s="85" t="str">
        <f>IF(6*252.71=0," ",TEXT(,ROUND((6*252.71*5.56),2)))</f>
        <v>8430,41</v>
      </c>
      <c r="M154" s="85"/>
      <c r="N154" s="85"/>
    </row>
    <row r="155" spans="1:14" ht="57" x14ac:dyDescent="0.25">
      <c r="A155" s="83">
        <v>89</v>
      </c>
      <c r="B155" s="84" t="s">
        <v>420</v>
      </c>
      <c r="C155" s="84" t="s">
        <v>708</v>
      </c>
      <c r="D155" s="83" t="s">
        <v>631</v>
      </c>
      <c r="E155" s="85">
        <v>259.11</v>
      </c>
      <c r="F155" s="85"/>
      <c r="G155" s="85">
        <v>259.11</v>
      </c>
      <c r="H155" s="86" t="s">
        <v>411</v>
      </c>
      <c r="I155" s="87">
        <v>2881</v>
      </c>
      <c r="J155" s="85"/>
      <c r="K155" s="85"/>
      <c r="L155" s="85" t="str">
        <f>IF(2*259.11=0," ",TEXT(,ROUND((2*259.11*5.56),2)))</f>
        <v>2881,3</v>
      </c>
      <c r="M155" s="85"/>
      <c r="N155" s="85"/>
    </row>
    <row r="156" spans="1:14" ht="171" x14ac:dyDescent="0.25">
      <c r="A156" s="83">
        <v>90</v>
      </c>
      <c r="B156" s="84" t="s">
        <v>459</v>
      </c>
      <c r="C156" s="84" t="s">
        <v>460</v>
      </c>
      <c r="D156" s="83" t="s">
        <v>703</v>
      </c>
      <c r="E156" s="85" t="s">
        <v>461</v>
      </c>
      <c r="F156" s="85" t="s">
        <v>462</v>
      </c>
      <c r="G156" s="85">
        <v>83.08</v>
      </c>
      <c r="H156" s="86" t="s">
        <v>463</v>
      </c>
      <c r="I156" s="87">
        <v>3170</v>
      </c>
      <c r="J156" s="85">
        <v>1264</v>
      </c>
      <c r="K156" s="85" t="s">
        <v>709</v>
      </c>
      <c r="L156" s="85" t="str">
        <f>IF(4*83.08=0," ",TEXT(,ROUND((4*83.08*4.24),2)))</f>
        <v>1409,04</v>
      </c>
      <c r="M156" s="85" t="s">
        <v>465</v>
      </c>
      <c r="N156" s="85" t="s">
        <v>710</v>
      </c>
    </row>
    <row r="157" spans="1:14" ht="45.6" x14ac:dyDescent="0.25">
      <c r="A157" s="83">
        <v>91</v>
      </c>
      <c r="B157" s="84" t="s">
        <v>466</v>
      </c>
      <c r="C157" s="84" t="s">
        <v>467</v>
      </c>
      <c r="D157" s="83" t="s">
        <v>703</v>
      </c>
      <c r="E157" s="85">
        <v>11.43</v>
      </c>
      <c r="F157" s="85"/>
      <c r="G157" s="85">
        <v>11.43</v>
      </c>
      <c r="H157" s="86" t="s">
        <v>411</v>
      </c>
      <c r="I157" s="87">
        <v>254</v>
      </c>
      <c r="J157" s="85"/>
      <c r="K157" s="85"/>
      <c r="L157" s="85" t="str">
        <f>IF(4*11.43=0," ",TEXT(,ROUND((4*11.43*5.56),2)))</f>
        <v>254,2</v>
      </c>
      <c r="M157" s="85"/>
      <c r="N157" s="85"/>
    </row>
    <row r="158" spans="1:14" ht="159.6" x14ac:dyDescent="0.25">
      <c r="A158" s="83">
        <v>92</v>
      </c>
      <c r="B158" s="84" t="s">
        <v>711</v>
      </c>
      <c r="C158" s="84" t="s">
        <v>712</v>
      </c>
      <c r="D158" s="83" t="s">
        <v>713</v>
      </c>
      <c r="E158" s="85" t="s">
        <v>714</v>
      </c>
      <c r="F158" s="85"/>
      <c r="G158" s="85">
        <v>224.54</v>
      </c>
      <c r="H158" s="86" t="s">
        <v>715</v>
      </c>
      <c r="I158" s="87">
        <v>21133</v>
      </c>
      <c r="J158" s="85">
        <v>1571</v>
      </c>
      <c r="K158" s="85"/>
      <c r="L158" s="85" t="str">
        <f>IF(36*224.54=0," ",TEXT(,ROUND((36*224.54*2.42),2)))</f>
        <v>19561,92</v>
      </c>
      <c r="M158" s="85">
        <v>0.25</v>
      </c>
      <c r="N158" s="85">
        <v>9</v>
      </c>
    </row>
    <row r="159" spans="1:14" ht="114" x14ac:dyDescent="0.25">
      <c r="A159" s="83">
        <v>93</v>
      </c>
      <c r="B159" s="84" t="s">
        <v>716</v>
      </c>
      <c r="C159" s="84" t="s">
        <v>717</v>
      </c>
      <c r="D159" s="83" t="s">
        <v>718</v>
      </c>
      <c r="E159" s="85">
        <v>223.7</v>
      </c>
      <c r="F159" s="85"/>
      <c r="G159" s="85"/>
      <c r="H159" s="86" t="s">
        <v>719</v>
      </c>
      <c r="I159" s="87">
        <v>-19505</v>
      </c>
      <c r="J159" s="85"/>
      <c r="K159" s="85"/>
      <c r="L159" s="85" t="str">
        <f>IF(-36*0=0," ",TEXT(,ROUND((-36*0*2.422),2)))</f>
        <v xml:space="preserve"> </v>
      </c>
      <c r="M159" s="85"/>
      <c r="N159" s="85"/>
    </row>
    <row r="160" spans="1:14" ht="68.400000000000006" x14ac:dyDescent="0.25">
      <c r="A160" s="83">
        <v>94</v>
      </c>
      <c r="B160" s="84" t="s">
        <v>720</v>
      </c>
      <c r="C160" s="84" t="s">
        <v>721</v>
      </c>
      <c r="D160" s="83" t="s">
        <v>713</v>
      </c>
      <c r="E160" s="85">
        <v>134.49</v>
      </c>
      <c r="F160" s="85"/>
      <c r="G160" s="85"/>
      <c r="H160" s="86" t="s">
        <v>722</v>
      </c>
      <c r="I160" s="87">
        <v>19463</v>
      </c>
      <c r="J160" s="85"/>
      <c r="K160" s="85"/>
      <c r="L160" s="85" t="str">
        <f>IF(36*0=0," ",TEXT(,ROUND((36*0*4.02),2)))</f>
        <v xml:space="preserve"> </v>
      </c>
      <c r="M160" s="85"/>
      <c r="N160" s="85"/>
    </row>
    <row r="161" spans="1:14" ht="159.6" x14ac:dyDescent="0.25">
      <c r="A161" s="83">
        <v>95</v>
      </c>
      <c r="B161" s="84" t="s">
        <v>723</v>
      </c>
      <c r="C161" s="84" t="s">
        <v>724</v>
      </c>
      <c r="D161" s="83" t="s">
        <v>725</v>
      </c>
      <c r="E161" s="85" t="s">
        <v>726</v>
      </c>
      <c r="F161" s="85"/>
      <c r="G161" s="85">
        <v>335.96</v>
      </c>
      <c r="H161" s="86" t="s">
        <v>727</v>
      </c>
      <c r="I161" s="87">
        <v>8220</v>
      </c>
      <c r="J161" s="85">
        <v>1165</v>
      </c>
      <c r="K161" s="85"/>
      <c r="L161" s="85" t="str">
        <f>IF(20*335.96=0," ",TEXT(,ROUND((20*335.96*1.05),2)))</f>
        <v>7055,16</v>
      </c>
      <c r="M161" s="85">
        <v>0.36</v>
      </c>
      <c r="N161" s="85">
        <v>7.2</v>
      </c>
    </row>
    <row r="162" spans="1:14" ht="68.400000000000006" x14ac:dyDescent="0.25">
      <c r="A162" s="83">
        <v>96</v>
      </c>
      <c r="B162" s="84" t="s">
        <v>728</v>
      </c>
      <c r="C162" s="84" t="s">
        <v>729</v>
      </c>
      <c r="D162" s="83" t="s">
        <v>730</v>
      </c>
      <c r="E162" s="85" t="s">
        <v>731</v>
      </c>
      <c r="F162" s="85">
        <v>444.35</v>
      </c>
      <c r="G162" s="85">
        <v>1910.96</v>
      </c>
      <c r="H162" s="86" t="s">
        <v>732</v>
      </c>
      <c r="I162" s="87">
        <v>8090</v>
      </c>
      <c r="J162" s="85">
        <v>2127</v>
      </c>
      <c r="K162" s="85">
        <v>540</v>
      </c>
      <c r="L162" s="85" t="str">
        <f>IF(0.2*1910.96=0," ",TEXT(,ROUND((0.2*1910.96*14.19),2)))</f>
        <v>5423,3</v>
      </c>
      <c r="M162" s="85">
        <v>65.400000000000006</v>
      </c>
      <c r="N162" s="85">
        <v>13.08</v>
      </c>
    </row>
    <row r="163" spans="1:14" ht="159.6" x14ac:dyDescent="0.25">
      <c r="A163" s="83">
        <v>97</v>
      </c>
      <c r="B163" s="84" t="s">
        <v>733</v>
      </c>
      <c r="C163" s="84" t="s">
        <v>734</v>
      </c>
      <c r="D163" s="83" t="s">
        <v>687</v>
      </c>
      <c r="E163" s="85" t="s">
        <v>735</v>
      </c>
      <c r="F163" s="85" t="s">
        <v>736</v>
      </c>
      <c r="G163" s="85">
        <v>10296.69</v>
      </c>
      <c r="H163" s="86" t="s">
        <v>737</v>
      </c>
      <c r="I163" s="87">
        <v>33396</v>
      </c>
      <c r="J163" s="85">
        <v>1119</v>
      </c>
      <c r="K163" s="85" t="s">
        <v>738</v>
      </c>
      <c r="L163" s="85" t="str">
        <f>IF(0.4*10296.69=0," ",TEXT(,ROUND((0.4*10296.69*7.69),2)))</f>
        <v>31672,62</v>
      </c>
      <c r="M163" s="85" t="s">
        <v>739</v>
      </c>
      <c r="N163" s="85" t="s">
        <v>740</v>
      </c>
    </row>
    <row r="164" spans="1:14" ht="68.400000000000006" x14ac:dyDescent="0.25">
      <c r="A164" s="83">
        <v>98</v>
      </c>
      <c r="B164" s="84" t="s">
        <v>741</v>
      </c>
      <c r="C164" s="84" t="s">
        <v>742</v>
      </c>
      <c r="D164" s="83" t="s">
        <v>743</v>
      </c>
      <c r="E164" s="85">
        <v>1027.7</v>
      </c>
      <c r="F164" s="85"/>
      <c r="G164" s="85">
        <v>1027.7</v>
      </c>
      <c r="H164" s="86" t="s">
        <v>744</v>
      </c>
      <c r="I164" s="87">
        <v>-31624</v>
      </c>
      <c r="J164" s="85"/>
      <c r="K164" s="85"/>
      <c r="L164" s="85" t="str">
        <f>IF(-4*1027.7=0," ",TEXT(,ROUND((-4*1027.7*7.693),2)))</f>
        <v>-31624,38</v>
      </c>
      <c r="M164" s="85"/>
      <c r="N164" s="85"/>
    </row>
    <row r="165" spans="1:14" ht="57" x14ac:dyDescent="0.25">
      <c r="A165" s="83">
        <v>99</v>
      </c>
      <c r="B165" s="84" t="s">
        <v>701</v>
      </c>
      <c r="C165" s="84" t="s">
        <v>745</v>
      </c>
      <c r="D165" s="83" t="s">
        <v>703</v>
      </c>
      <c r="E165" s="85">
        <v>920.62</v>
      </c>
      <c r="F165" s="85"/>
      <c r="G165" s="85">
        <v>920.62</v>
      </c>
      <c r="H165" s="86" t="s">
        <v>411</v>
      </c>
      <c r="I165" s="87">
        <v>20475</v>
      </c>
      <c r="J165" s="85"/>
      <c r="K165" s="85"/>
      <c r="L165" s="85" t="str">
        <f>IF(4*920.62=0," ",TEXT(,ROUND((4*920.62*5.56),2)))</f>
        <v>20474,59</v>
      </c>
      <c r="M165" s="85"/>
      <c r="N165" s="85"/>
    </row>
    <row r="166" spans="1:14" ht="91.2" x14ac:dyDescent="0.25">
      <c r="A166" s="83">
        <v>100</v>
      </c>
      <c r="B166" s="84" t="s">
        <v>746</v>
      </c>
      <c r="C166" s="84" t="s">
        <v>747</v>
      </c>
      <c r="D166" s="83" t="s">
        <v>748</v>
      </c>
      <c r="E166" s="85">
        <v>37</v>
      </c>
      <c r="F166" s="85"/>
      <c r="G166" s="85">
        <v>37</v>
      </c>
      <c r="H166" s="86" t="s">
        <v>749</v>
      </c>
      <c r="I166" s="87">
        <v>2568</v>
      </c>
      <c r="J166" s="85"/>
      <c r="K166" s="85"/>
      <c r="L166" s="85" t="str">
        <f>IF(8*37=0," ",TEXT(,ROUND((8*37*8.674),2)))</f>
        <v>2567,5</v>
      </c>
      <c r="M166" s="85"/>
      <c r="N166" s="85"/>
    </row>
    <row r="167" spans="1:14" ht="159.6" x14ac:dyDescent="0.25">
      <c r="A167" s="83">
        <v>101</v>
      </c>
      <c r="B167" s="84" t="s">
        <v>750</v>
      </c>
      <c r="C167" s="84" t="s">
        <v>751</v>
      </c>
      <c r="D167" s="83" t="s">
        <v>730</v>
      </c>
      <c r="E167" s="85" t="s">
        <v>752</v>
      </c>
      <c r="F167" s="85" t="s">
        <v>753</v>
      </c>
      <c r="G167" s="85">
        <v>8246.36</v>
      </c>
      <c r="H167" s="86" t="s">
        <v>754</v>
      </c>
      <c r="I167" s="87">
        <v>3572</v>
      </c>
      <c r="J167" s="85">
        <v>369</v>
      </c>
      <c r="K167" s="85" t="s">
        <v>755</v>
      </c>
      <c r="L167" s="85" t="str">
        <f>IF(0.2*8246.36=0," ",TEXT(,ROUND((0.2*8246.36*1.83),2)))</f>
        <v>3018,17</v>
      </c>
      <c r="M167" s="85" t="s">
        <v>756</v>
      </c>
      <c r="N167" s="85" t="s">
        <v>661</v>
      </c>
    </row>
    <row r="168" spans="1:14" ht="68.400000000000006" x14ac:dyDescent="0.25">
      <c r="A168" s="83">
        <v>102</v>
      </c>
      <c r="B168" s="84" t="s">
        <v>757</v>
      </c>
      <c r="C168" s="84" t="s">
        <v>758</v>
      </c>
      <c r="D168" s="83" t="s">
        <v>759</v>
      </c>
      <c r="E168" s="85">
        <v>823.6</v>
      </c>
      <c r="F168" s="85"/>
      <c r="G168" s="85">
        <v>823.6</v>
      </c>
      <c r="H168" s="86" t="s">
        <v>760</v>
      </c>
      <c r="I168" s="87">
        <v>-3014</v>
      </c>
      <c r="J168" s="85"/>
      <c r="K168" s="85"/>
      <c r="L168" s="85" t="str">
        <f>IF(-2*823.6=0," ",TEXT(,ROUND((-2*823.6*1.83),2)))</f>
        <v>-3014,38</v>
      </c>
      <c r="M168" s="85"/>
      <c r="N168" s="85"/>
    </row>
    <row r="169" spans="1:14" ht="57" x14ac:dyDescent="0.25">
      <c r="A169" s="83">
        <v>103</v>
      </c>
      <c r="B169" s="84" t="s">
        <v>701</v>
      </c>
      <c r="C169" s="84" t="s">
        <v>761</v>
      </c>
      <c r="D169" s="83" t="s">
        <v>631</v>
      </c>
      <c r="E169" s="85">
        <v>479.82</v>
      </c>
      <c r="F169" s="85"/>
      <c r="G169" s="85">
        <v>479.82</v>
      </c>
      <c r="H169" s="86" t="s">
        <v>411</v>
      </c>
      <c r="I169" s="87">
        <v>5336</v>
      </c>
      <c r="J169" s="85"/>
      <c r="K169" s="85"/>
      <c r="L169" s="85" t="str">
        <f>IF(2*479.82=0," ",TEXT(,ROUND((2*479.82*5.56),2)))</f>
        <v>5335,6</v>
      </c>
      <c r="M169" s="85"/>
      <c r="N169" s="85"/>
    </row>
    <row r="170" spans="1:14" ht="91.2" x14ac:dyDescent="0.25">
      <c r="A170" s="83">
        <v>104</v>
      </c>
      <c r="B170" s="84" t="s">
        <v>762</v>
      </c>
      <c r="C170" s="84" t="s">
        <v>763</v>
      </c>
      <c r="D170" s="83" t="s">
        <v>703</v>
      </c>
      <c r="E170" s="85">
        <v>25</v>
      </c>
      <c r="F170" s="85"/>
      <c r="G170" s="85">
        <v>25</v>
      </c>
      <c r="H170" s="86" t="s">
        <v>764</v>
      </c>
      <c r="I170" s="87">
        <v>836</v>
      </c>
      <c r="J170" s="85"/>
      <c r="K170" s="85"/>
      <c r="L170" s="85" t="str">
        <f>IF(4*25=0," ",TEXT(,ROUND((4*25*8.358),2)))</f>
        <v>835,8</v>
      </c>
      <c r="M170" s="85"/>
      <c r="N170" s="85"/>
    </row>
    <row r="171" spans="1:14" ht="159.6" x14ac:dyDescent="0.25">
      <c r="A171" s="83">
        <v>105</v>
      </c>
      <c r="B171" s="84" t="s">
        <v>765</v>
      </c>
      <c r="C171" s="84" t="s">
        <v>766</v>
      </c>
      <c r="D171" s="83" t="s">
        <v>730</v>
      </c>
      <c r="E171" s="85" t="s">
        <v>767</v>
      </c>
      <c r="F171" s="85" t="s">
        <v>768</v>
      </c>
      <c r="G171" s="85">
        <v>5619.89</v>
      </c>
      <c r="H171" s="86" t="s">
        <v>769</v>
      </c>
      <c r="I171" s="87">
        <v>1723</v>
      </c>
      <c r="J171" s="85">
        <v>308</v>
      </c>
      <c r="K171" s="85" t="s">
        <v>770</v>
      </c>
      <c r="L171" s="85" t="str">
        <f>IF(0.2*5619.89=0," ",TEXT(,ROUND((0.2*5619.89*1.15),2)))</f>
        <v>1292,57</v>
      </c>
      <c r="M171" s="85" t="s">
        <v>771</v>
      </c>
      <c r="N171" s="85" t="s">
        <v>772</v>
      </c>
    </row>
    <row r="172" spans="1:14" ht="136.80000000000001" x14ac:dyDescent="0.25">
      <c r="A172" s="83">
        <v>106</v>
      </c>
      <c r="B172" s="84" t="s">
        <v>773</v>
      </c>
      <c r="C172" s="84" t="s">
        <v>774</v>
      </c>
      <c r="D172" s="83" t="s">
        <v>631</v>
      </c>
      <c r="E172" s="85" t="s">
        <v>775</v>
      </c>
      <c r="F172" s="85">
        <v>1.0900000000000001</v>
      </c>
      <c r="G172" s="85">
        <v>1172.8399999999999</v>
      </c>
      <c r="H172" s="86" t="s">
        <v>776</v>
      </c>
      <c r="I172" s="87">
        <v>8057</v>
      </c>
      <c r="J172" s="85">
        <v>150</v>
      </c>
      <c r="K172" s="85">
        <v>26</v>
      </c>
      <c r="L172" s="85" t="str">
        <f>IF(2*1172.84=0," ",TEXT(,ROUND((2*1172.84*3.36),2)))</f>
        <v>7881,48</v>
      </c>
      <c r="M172" s="85">
        <v>0.47</v>
      </c>
      <c r="N172" s="85">
        <v>0.94</v>
      </c>
    </row>
    <row r="173" spans="1:14" ht="57" x14ac:dyDescent="0.25">
      <c r="A173" s="83">
        <v>107</v>
      </c>
      <c r="B173" s="84" t="s">
        <v>777</v>
      </c>
      <c r="C173" s="84" t="s">
        <v>778</v>
      </c>
      <c r="D173" s="83" t="s">
        <v>759</v>
      </c>
      <c r="E173" s="85">
        <v>1172</v>
      </c>
      <c r="F173" s="85"/>
      <c r="G173" s="85">
        <v>1172</v>
      </c>
      <c r="H173" s="86" t="s">
        <v>779</v>
      </c>
      <c r="I173" s="87">
        <v>-7871</v>
      </c>
      <c r="J173" s="85"/>
      <c r="K173" s="85"/>
      <c r="L173" s="85" t="str">
        <f>IF(-2*1172=0," ",TEXT(,ROUND((-2*1172*3.358),2)))</f>
        <v>-7871,15</v>
      </c>
      <c r="M173" s="85"/>
      <c r="N173" s="85"/>
    </row>
    <row r="174" spans="1:14" ht="57" x14ac:dyDescent="0.25">
      <c r="A174" s="83">
        <v>108</v>
      </c>
      <c r="B174" s="84" t="s">
        <v>420</v>
      </c>
      <c r="C174" s="84" t="s">
        <v>780</v>
      </c>
      <c r="D174" s="83" t="s">
        <v>631</v>
      </c>
      <c r="E174" s="85">
        <v>396.45</v>
      </c>
      <c r="F174" s="85"/>
      <c r="G174" s="85">
        <v>396.45</v>
      </c>
      <c r="H174" s="86" t="s">
        <v>411</v>
      </c>
      <c r="I174" s="87">
        <v>4409</v>
      </c>
      <c r="J174" s="85"/>
      <c r="K174" s="85"/>
      <c r="L174" s="85" t="str">
        <f>IF(2*396.45=0," ",TEXT(,ROUND((2*396.45*5.56),2)))</f>
        <v>4408,52</v>
      </c>
      <c r="M174" s="85"/>
      <c r="N174" s="85"/>
    </row>
    <row r="175" spans="1:14" ht="171" x14ac:dyDescent="0.25">
      <c r="A175" s="83">
        <v>109</v>
      </c>
      <c r="B175" s="84" t="s">
        <v>629</v>
      </c>
      <c r="C175" s="84" t="s">
        <v>781</v>
      </c>
      <c r="D175" s="83" t="s">
        <v>692</v>
      </c>
      <c r="E175" s="85" t="s">
        <v>782</v>
      </c>
      <c r="F175" s="85" t="s">
        <v>783</v>
      </c>
      <c r="G175" s="85">
        <v>2558.94</v>
      </c>
      <c r="H175" s="86" t="s">
        <v>634</v>
      </c>
      <c r="I175" s="87">
        <v>83660</v>
      </c>
      <c r="J175" s="85">
        <v>15811</v>
      </c>
      <c r="K175" s="85" t="s">
        <v>784</v>
      </c>
      <c r="L175" s="85" t="str">
        <f>IF(6*2558.94=0," ",TEXT(,ROUND((6*2558.94*4.36),2)))</f>
        <v>66941,87</v>
      </c>
      <c r="M175" s="85" t="s">
        <v>785</v>
      </c>
      <c r="N175" s="85" t="s">
        <v>786</v>
      </c>
    </row>
    <row r="176" spans="1:14" ht="79.8" x14ac:dyDescent="0.25">
      <c r="A176" s="83">
        <v>110</v>
      </c>
      <c r="B176" s="84" t="s">
        <v>787</v>
      </c>
      <c r="C176" s="84" t="s">
        <v>788</v>
      </c>
      <c r="D176" s="83">
        <v>-6</v>
      </c>
      <c r="E176" s="85">
        <v>2453.8000000000002</v>
      </c>
      <c r="F176" s="85"/>
      <c r="G176" s="85">
        <v>2453.8000000000002</v>
      </c>
      <c r="H176" s="86" t="s">
        <v>789</v>
      </c>
      <c r="I176" s="87">
        <v>-63750</v>
      </c>
      <c r="J176" s="85"/>
      <c r="K176" s="85"/>
      <c r="L176" s="85" t="str">
        <f>IF(-6*2453.8=0," ",TEXT(,ROUND((-6*2453.8*4.33),2)))</f>
        <v>-63749,72</v>
      </c>
      <c r="M176" s="85"/>
      <c r="N176" s="85"/>
    </row>
    <row r="177" spans="1:14" ht="91.2" x14ac:dyDescent="0.25">
      <c r="A177" s="83">
        <v>111</v>
      </c>
      <c r="B177" s="84" t="s">
        <v>790</v>
      </c>
      <c r="C177" s="84" t="s">
        <v>791</v>
      </c>
      <c r="D177" s="83">
        <v>-6</v>
      </c>
      <c r="E177" s="85">
        <v>28</v>
      </c>
      <c r="F177" s="85"/>
      <c r="G177" s="85">
        <v>28</v>
      </c>
      <c r="H177" s="86" t="s">
        <v>792</v>
      </c>
      <c r="I177" s="87">
        <v>-835</v>
      </c>
      <c r="J177" s="85"/>
      <c r="K177" s="85"/>
      <c r="L177" s="85" t="str">
        <f>IF(-6*28=0," ",TEXT(,ROUND((-6*28*4.97),2)))</f>
        <v>-834,96</v>
      </c>
      <c r="M177" s="85"/>
      <c r="N177" s="85"/>
    </row>
    <row r="178" spans="1:14" ht="91.2" x14ac:dyDescent="0.25">
      <c r="A178" s="83">
        <v>112</v>
      </c>
      <c r="B178" s="84" t="s">
        <v>793</v>
      </c>
      <c r="C178" s="84" t="s">
        <v>794</v>
      </c>
      <c r="D178" s="83">
        <v>-6</v>
      </c>
      <c r="E178" s="85">
        <v>23</v>
      </c>
      <c r="F178" s="85"/>
      <c r="G178" s="85">
        <v>23</v>
      </c>
      <c r="H178" s="86" t="s">
        <v>795</v>
      </c>
      <c r="I178" s="87">
        <v>-901</v>
      </c>
      <c r="J178" s="85"/>
      <c r="K178" s="85"/>
      <c r="L178" s="85" t="str">
        <f>IF(-6*23=0," ",TEXT(,ROUND((-6*23*6.532),2)))</f>
        <v>-901,42</v>
      </c>
      <c r="M178" s="85"/>
      <c r="N178" s="85"/>
    </row>
    <row r="179" spans="1:14" ht="57" x14ac:dyDescent="0.25">
      <c r="A179" s="83">
        <v>113</v>
      </c>
      <c r="B179" s="84" t="s">
        <v>796</v>
      </c>
      <c r="C179" s="84" t="s">
        <v>797</v>
      </c>
      <c r="D179" s="83" t="s">
        <v>631</v>
      </c>
      <c r="E179" s="85">
        <v>2338.1799999999998</v>
      </c>
      <c r="F179" s="85"/>
      <c r="G179" s="85">
        <v>2338.1799999999998</v>
      </c>
      <c r="H179" s="86" t="s">
        <v>798</v>
      </c>
      <c r="I179" s="87">
        <v>25248</v>
      </c>
      <c r="J179" s="85"/>
      <c r="K179" s="85"/>
      <c r="L179" s="85" t="str">
        <f>IF(2*2338.18=0," ",TEXT(,ROUND((2*2338.18*5.399),2)))</f>
        <v>25247,67</v>
      </c>
      <c r="M179" s="85"/>
      <c r="N179" s="85"/>
    </row>
    <row r="180" spans="1:14" ht="57" x14ac:dyDescent="0.25">
      <c r="A180" s="83">
        <v>114</v>
      </c>
      <c r="B180" s="84" t="s">
        <v>799</v>
      </c>
      <c r="C180" s="84" t="s">
        <v>800</v>
      </c>
      <c r="D180" s="83" t="s">
        <v>703</v>
      </c>
      <c r="E180" s="85">
        <v>9290.94</v>
      </c>
      <c r="F180" s="85"/>
      <c r="G180" s="85">
        <v>9290.94</v>
      </c>
      <c r="H180" s="86" t="s">
        <v>411</v>
      </c>
      <c r="I180" s="87">
        <v>206631</v>
      </c>
      <c r="J180" s="85"/>
      <c r="K180" s="85"/>
      <c r="L180" s="85" t="str">
        <f>IF(4*9290.94=0," ",TEXT(,ROUND((4*9290.94*5.56),2)))</f>
        <v>206630,51</v>
      </c>
      <c r="M180" s="85"/>
      <c r="N180" s="85"/>
    </row>
    <row r="181" spans="1:14" ht="91.2" x14ac:dyDescent="0.25">
      <c r="A181" s="83">
        <v>115</v>
      </c>
      <c r="B181" s="84" t="s">
        <v>801</v>
      </c>
      <c r="C181" s="84" t="s">
        <v>802</v>
      </c>
      <c r="D181" s="83" t="s">
        <v>748</v>
      </c>
      <c r="E181" s="85">
        <v>23.4</v>
      </c>
      <c r="F181" s="85"/>
      <c r="G181" s="85">
        <v>23.4</v>
      </c>
      <c r="H181" s="86" t="s">
        <v>803</v>
      </c>
      <c r="I181" s="87">
        <v>1510</v>
      </c>
      <c r="J181" s="85"/>
      <c r="K181" s="85"/>
      <c r="L181" s="85" t="str">
        <f>IF(8*23.4=0," ",TEXT(,ROUND((8*23.4*8.069),2)))</f>
        <v>1510,52</v>
      </c>
      <c r="M181" s="85"/>
      <c r="N181" s="85"/>
    </row>
    <row r="182" spans="1:14" ht="45.6" x14ac:dyDescent="0.25">
      <c r="A182" s="83">
        <v>116</v>
      </c>
      <c r="B182" s="84" t="s">
        <v>420</v>
      </c>
      <c r="C182" s="84" t="s">
        <v>804</v>
      </c>
      <c r="D182" s="83" t="s">
        <v>631</v>
      </c>
      <c r="E182" s="85">
        <v>570.66</v>
      </c>
      <c r="F182" s="85"/>
      <c r="G182" s="85">
        <v>570.66</v>
      </c>
      <c r="H182" s="86" t="s">
        <v>411</v>
      </c>
      <c r="I182" s="87">
        <v>6346</v>
      </c>
      <c r="J182" s="85"/>
      <c r="K182" s="85"/>
      <c r="L182" s="85" t="str">
        <f>IF(2*570.66=0," ",TEXT(,ROUND((2*570.66*5.56),2)))</f>
        <v>6345,74</v>
      </c>
      <c r="M182" s="85"/>
      <c r="N182" s="85"/>
    </row>
    <row r="183" spans="1:14" ht="68.400000000000006" x14ac:dyDescent="0.25">
      <c r="A183" s="83">
        <v>117</v>
      </c>
      <c r="B183" s="84" t="s">
        <v>646</v>
      </c>
      <c r="C183" s="84" t="s">
        <v>805</v>
      </c>
      <c r="D183" s="83" t="s">
        <v>692</v>
      </c>
      <c r="E183" s="85" t="s">
        <v>806</v>
      </c>
      <c r="F183" s="85"/>
      <c r="G183" s="85">
        <v>1.31</v>
      </c>
      <c r="H183" s="86" t="s">
        <v>649</v>
      </c>
      <c r="I183" s="87">
        <v>1072</v>
      </c>
      <c r="J183" s="85">
        <v>1036</v>
      </c>
      <c r="K183" s="85"/>
      <c r="L183" s="85" t="str">
        <f>IF(6*1.31=0," ",TEXT(,ROUND((6*1.31*4.55),2)))</f>
        <v>35,76</v>
      </c>
      <c r="M183" s="85">
        <v>1.03</v>
      </c>
      <c r="N183" s="85">
        <v>6.18</v>
      </c>
    </row>
    <row r="184" spans="1:14" ht="68.400000000000006" x14ac:dyDescent="0.25">
      <c r="A184" s="83">
        <v>118</v>
      </c>
      <c r="B184" s="84" t="s">
        <v>807</v>
      </c>
      <c r="C184" s="84" t="s">
        <v>808</v>
      </c>
      <c r="D184" s="83" t="s">
        <v>692</v>
      </c>
      <c r="E184" s="85">
        <v>959.31</v>
      </c>
      <c r="F184" s="85"/>
      <c r="G184" s="85"/>
      <c r="H184" s="86" t="s">
        <v>722</v>
      </c>
      <c r="I184" s="87">
        <v>23139</v>
      </c>
      <c r="J184" s="85"/>
      <c r="K184" s="85"/>
      <c r="L184" s="85" t="str">
        <f>IF(6*0=0," ",TEXT(,ROUND((6*0*4.02),2)))</f>
        <v xml:space="preserve"> </v>
      </c>
      <c r="M184" s="85"/>
      <c r="N184" s="85"/>
    </row>
    <row r="185" spans="1:14" ht="17.850000000000001" customHeight="1" x14ac:dyDescent="0.25">
      <c r="A185" s="126" t="s">
        <v>809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</row>
    <row r="186" spans="1:14" ht="182.4" x14ac:dyDescent="0.25">
      <c r="A186" s="83">
        <v>119</v>
      </c>
      <c r="B186" s="84" t="s">
        <v>810</v>
      </c>
      <c r="C186" s="84" t="s">
        <v>811</v>
      </c>
      <c r="D186" s="83">
        <v>1</v>
      </c>
      <c r="E186" s="85" t="s">
        <v>812</v>
      </c>
      <c r="F186" s="85" t="s">
        <v>813</v>
      </c>
      <c r="G186" s="85">
        <v>26711.73</v>
      </c>
      <c r="H186" s="86" t="s">
        <v>642</v>
      </c>
      <c r="I186" s="87">
        <v>67759</v>
      </c>
      <c r="J186" s="85">
        <v>3443</v>
      </c>
      <c r="K186" s="85" t="s">
        <v>814</v>
      </c>
      <c r="L186" s="85" t="str">
        <f>IF(1*26711.73=0," ",TEXT(,ROUND((1*26711.73*2.35),2)))</f>
        <v>62772,57</v>
      </c>
      <c r="M186" s="85" t="s">
        <v>815</v>
      </c>
      <c r="N186" s="85" t="s">
        <v>815</v>
      </c>
    </row>
    <row r="187" spans="1:14" ht="68.400000000000006" x14ac:dyDescent="0.25">
      <c r="A187" s="83">
        <v>120</v>
      </c>
      <c r="B187" s="84" t="s">
        <v>816</v>
      </c>
      <c r="C187" s="84" t="s">
        <v>817</v>
      </c>
      <c r="D187" s="83">
        <v>-1</v>
      </c>
      <c r="E187" s="85">
        <v>26135</v>
      </c>
      <c r="F187" s="85"/>
      <c r="G187" s="85">
        <v>26135</v>
      </c>
      <c r="H187" s="86" t="s">
        <v>818</v>
      </c>
      <c r="I187" s="87">
        <v>-51564</v>
      </c>
      <c r="J187" s="85"/>
      <c r="K187" s="85"/>
      <c r="L187" s="85" t="str">
        <f>IF(-1*26135=0," ",TEXT(,ROUND((-1*26135*1.973),2)))</f>
        <v>-51564,36</v>
      </c>
      <c r="M187" s="85"/>
      <c r="N187" s="85"/>
    </row>
    <row r="188" spans="1:14" ht="91.2" x14ac:dyDescent="0.25">
      <c r="A188" s="83">
        <v>121</v>
      </c>
      <c r="B188" s="84" t="s">
        <v>819</v>
      </c>
      <c r="C188" s="84" t="s">
        <v>820</v>
      </c>
      <c r="D188" s="83">
        <v>-2</v>
      </c>
      <c r="E188" s="85">
        <v>75</v>
      </c>
      <c r="F188" s="85"/>
      <c r="G188" s="85">
        <v>75</v>
      </c>
      <c r="H188" s="86" t="s">
        <v>821</v>
      </c>
      <c r="I188" s="87">
        <v>-1179</v>
      </c>
      <c r="J188" s="85"/>
      <c r="K188" s="85"/>
      <c r="L188" s="85" t="str">
        <f>IF(-2*75=0," ",TEXT(,ROUND((-2*75*7.862),2)))</f>
        <v>-1179,3</v>
      </c>
      <c r="M188" s="85"/>
      <c r="N188" s="85"/>
    </row>
    <row r="189" spans="1:14" ht="91.2" x14ac:dyDescent="0.25">
      <c r="A189" s="83">
        <v>122</v>
      </c>
      <c r="B189" s="84" t="s">
        <v>822</v>
      </c>
      <c r="C189" s="84" t="s">
        <v>823</v>
      </c>
      <c r="D189" s="83">
        <v>-2</v>
      </c>
      <c r="E189" s="85">
        <v>100</v>
      </c>
      <c r="F189" s="85"/>
      <c r="G189" s="85">
        <v>100</v>
      </c>
      <c r="H189" s="86" t="s">
        <v>824</v>
      </c>
      <c r="I189" s="87">
        <v>-1789</v>
      </c>
      <c r="J189" s="85"/>
      <c r="K189" s="85"/>
      <c r="L189" s="85" t="str">
        <f>IF(-2*100=0," ",TEXT(,ROUND((-2*100*8.945),2)))</f>
        <v>-1789</v>
      </c>
      <c r="M189" s="85"/>
      <c r="N189" s="85"/>
    </row>
    <row r="190" spans="1:14" ht="79.8" x14ac:dyDescent="0.25">
      <c r="A190" s="83">
        <v>123</v>
      </c>
      <c r="B190" s="84" t="s">
        <v>825</v>
      </c>
      <c r="C190" s="84" t="s">
        <v>826</v>
      </c>
      <c r="D190" s="83">
        <v>1</v>
      </c>
      <c r="E190" s="85">
        <v>47041.74</v>
      </c>
      <c r="F190" s="85"/>
      <c r="G190" s="85">
        <v>47041.74</v>
      </c>
      <c r="H190" s="86" t="s">
        <v>411</v>
      </c>
      <c r="I190" s="87">
        <v>261552</v>
      </c>
      <c r="J190" s="85"/>
      <c r="K190" s="85"/>
      <c r="L190" s="85" t="str">
        <f>IF(1*47041.74=0," ",TEXT(,ROUND((1*47041.74*5.56),2)))</f>
        <v>261552,07</v>
      </c>
      <c r="M190" s="85"/>
      <c r="N190" s="85"/>
    </row>
    <row r="191" spans="1:14" ht="91.2" x14ac:dyDescent="0.25">
      <c r="A191" s="83">
        <v>124</v>
      </c>
      <c r="B191" s="84" t="s">
        <v>762</v>
      </c>
      <c r="C191" s="84" t="s">
        <v>763</v>
      </c>
      <c r="D191" s="83">
        <v>6</v>
      </c>
      <c r="E191" s="85">
        <v>25</v>
      </c>
      <c r="F191" s="85"/>
      <c r="G191" s="85">
        <v>25</v>
      </c>
      <c r="H191" s="86" t="s">
        <v>764</v>
      </c>
      <c r="I191" s="87">
        <v>1254</v>
      </c>
      <c r="J191" s="85"/>
      <c r="K191" s="85"/>
      <c r="L191" s="85" t="str">
        <f>IF(6*25=0," ",TEXT(,ROUND((6*25*8.358),2)))</f>
        <v>1253,7</v>
      </c>
      <c r="M191" s="85"/>
      <c r="N191" s="85"/>
    </row>
    <row r="192" spans="1:14" ht="17.850000000000001" customHeight="1" x14ac:dyDescent="0.25">
      <c r="A192" s="126" t="s">
        <v>827</v>
      </c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</row>
    <row r="193" spans="1:14" ht="182.4" x14ac:dyDescent="0.25">
      <c r="A193" s="83">
        <v>125</v>
      </c>
      <c r="B193" s="84" t="s">
        <v>828</v>
      </c>
      <c r="C193" s="84" t="s">
        <v>829</v>
      </c>
      <c r="D193" s="83">
        <v>1</v>
      </c>
      <c r="E193" s="85" t="s">
        <v>830</v>
      </c>
      <c r="F193" s="85" t="s">
        <v>831</v>
      </c>
      <c r="G193" s="85">
        <v>16947.71</v>
      </c>
      <c r="H193" s="86" t="s">
        <v>642</v>
      </c>
      <c r="I193" s="87">
        <v>43571</v>
      </c>
      <c r="J193" s="85">
        <v>2644</v>
      </c>
      <c r="K193" s="85" t="s">
        <v>832</v>
      </c>
      <c r="L193" s="85" t="str">
        <f>IF(1*16947.71=0," ",TEXT(,ROUND((1*16947.71*2.35),2)))</f>
        <v>39827,12</v>
      </c>
      <c r="M193" s="85" t="s">
        <v>833</v>
      </c>
      <c r="N193" s="85" t="s">
        <v>833</v>
      </c>
    </row>
    <row r="194" spans="1:14" ht="68.400000000000006" x14ac:dyDescent="0.25">
      <c r="A194" s="83">
        <v>126</v>
      </c>
      <c r="B194" s="84" t="s">
        <v>834</v>
      </c>
      <c r="C194" s="84" t="s">
        <v>835</v>
      </c>
      <c r="D194" s="83">
        <v>-1</v>
      </c>
      <c r="E194" s="85">
        <v>16518</v>
      </c>
      <c r="F194" s="85"/>
      <c r="G194" s="85">
        <v>16518</v>
      </c>
      <c r="H194" s="86" t="s">
        <v>836</v>
      </c>
      <c r="I194" s="87">
        <v>-31087</v>
      </c>
      <c r="J194" s="85"/>
      <c r="K194" s="85"/>
      <c r="L194" s="85" t="str">
        <f>IF(-1*16518=0," ",TEXT(,ROUND((-1*16518*1.882),2)))</f>
        <v>-31086,88</v>
      </c>
      <c r="M194" s="85"/>
      <c r="N194" s="85"/>
    </row>
    <row r="195" spans="1:14" ht="91.2" x14ac:dyDescent="0.25">
      <c r="A195" s="83">
        <v>127</v>
      </c>
      <c r="B195" s="84" t="s">
        <v>837</v>
      </c>
      <c r="C195" s="84" t="s">
        <v>838</v>
      </c>
      <c r="D195" s="83">
        <v>-1</v>
      </c>
      <c r="E195" s="85">
        <v>45</v>
      </c>
      <c r="F195" s="85"/>
      <c r="G195" s="85">
        <v>45</v>
      </c>
      <c r="H195" s="86" t="s">
        <v>839</v>
      </c>
      <c r="I195" s="87">
        <v>-252</v>
      </c>
      <c r="J195" s="85"/>
      <c r="K195" s="85"/>
      <c r="L195" s="85" t="str">
        <f>IF(-1*45=0," ",TEXT(,ROUND((-1*45*5.607),2)))</f>
        <v>-252,32</v>
      </c>
      <c r="M195" s="85"/>
      <c r="N195" s="85"/>
    </row>
    <row r="196" spans="1:14" ht="91.2" x14ac:dyDescent="0.25">
      <c r="A196" s="83">
        <v>128</v>
      </c>
      <c r="B196" s="84" t="s">
        <v>840</v>
      </c>
      <c r="C196" s="84" t="s">
        <v>841</v>
      </c>
      <c r="D196" s="83">
        <v>-1</v>
      </c>
      <c r="E196" s="85">
        <v>61</v>
      </c>
      <c r="F196" s="85"/>
      <c r="G196" s="85">
        <v>61</v>
      </c>
      <c r="H196" s="86" t="s">
        <v>842</v>
      </c>
      <c r="I196" s="87">
        <v>-454</v>
      </c>
      <c r="J196" s="85"/>
      <c r="K196" s="85"/>
      <c r="L196" s="85" t="str">
        <f>IF(-1*61=0," ",TEXT(,ROUND((-1*61*7.448),2)))</f>
        <v>-454,33</v>
      </c>
      <c r="M196" s="85"/>
      <c r="N196" s="85"/>
    </row>
    <row r="197" spans="1:14" ht="91.2" x14ac:dyDescent="0.25">
      <c r="A197" s="83">
        <v>129</v>
      </c>
      <c r="B197" s="84" t="s">
        <v>819</v>
      </c>
      <c r="C197" s="84" t="s">
        <v>820</v>
      </c>
      <c r="D197" s="83">
        <v>-2</v>
      </c>
      <c r="E197" s="85">
        <v>75</v>
      </c>
      <c r="F197" s="85"/>
      <c r="G197" s="85">
        <v>75</v>
      </c>
      <c r="H197" s="86" t="s">
        <v>821</v>
      </c>
      <c r="I197" s="87">
        <v>-1179</v>
      </c>
      <c r="J197" s="85"/>
      <c r="K197" s="85"/>
      <c r="L197" s="85" t="str">
        <f>IF(-2*75=0," ",TEXT(,ROUND((-2*75*7.862),2)))</f>
        <v>-1179,3</v>
      </c>
      <c r="M197" s="85"/>
      <c r="N197" s="85"/>
    </row>
    <row r="198" spans="1:14" ht="79.8" x14ac:dyDescent="0.25">
      <c r="A198" s="83">
        <v>130</v>
      </c>
      <c r="B198" s="84" t="s">
        <v>825</v>
      </c>
      <c r="C198" s="84" t="s">
        <v>843</v>
      </c>
      <c r="D198" s="83">
        <v>1</v>
      </c>
      <c r="E198" s="85">
        <v>39369.120000000003</v>
      </c>
      <c r="F198" s="85"/>
      <c r="G198" s="85">
        <v>39369.120000000003</v>
      </c>
      <c r="H198" s="86" t="s">
        <v>411</v>
      </c>
      <c r="I198" s="87">
        <v>218892</v>
      </c>
      <c r="J198" s="85"/>
      <c r="K198" s="85"/>
      <c r="L198" s="85" t="str">
        <f>IF(1*39369.12=0," ",TEXT(,ROUND((1*39369.12*5.56),2)))</f>
        <v>218892,31</v>
      </c>
      <c r="M198" s="85"/>
      <c r="N198" s="85"/>
    </row>
    <row r="199" spans="1:14" ht="91.2" x14ac:dyDescent="0.25">
      <c r="A199" s="83">
        <v>131</v>
      </c>
      <c r="B199" s="84" t="s">
        <v>762</v>
      </c>
      <c r="C199" s="84" t="s">
        <v>763</v>
      </c>
      <c r="D199" s="83">
        <v>6</v>
      </c>
      <c r="E199" s="85">
        <v>25</v>
      </c>
      <c r="F199" s="85"/>
      <c r="G199" s="85">
        <v>25</v>
      </c>
      <c r="H199" s="86" t="s">
        <v>764</v>
      </c>
      <c r="I199" s="87">
        <v>1254</v>
      </c>
      <c r="J199" s="85"/>
      <c r="K199" s="85"/>
      <c r="L199" s="85" t="str">
        <f>IF(6*25=0," ",TEXT(,ROUND((6*25*8.358),2)))</f>
        <v>1253,7</v>
      </c>
      <c r="M199" s="85"/>
      <c r="N199" s="85"/>
    </row>
    <row r="200" spans="1:14" ht="17.850000000000001" customHeight="1" x14ac:dyDescent="0.25">
      <c r="A200" s="126" t="s">
        <v>844</v>
      </c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</row>
    <row r="201" spans="1:14" ht="68.400000000000006" x14ac:dyDescent="0.25">
      <c r="A201" s="83">
        <v>132</v>
      </c>
      <c r="B201" s="84" t="s">
        <v>845</v>
      </c>
      <c r="C201" s="84" t="s">
        <v>846</v>
      </c>
      <c r="D201" s="83" t="s">
        <v>631</v>
      </c>
      <c r="E201" s="85" t="s">
        <v>847</v>
      </c>
      <c r="F201" s="85"/>
      <c r="G201" s="85">
        <v>1.0900000000000001</v>
      </c>
      <c r="H201" s="86" t="s">
        <v>848</v>
      </c>
      <c r="I201" s="87">
        <v>181</v>
      </c>
      <c r="J201" s="85">
        <v>174</v>
      </c>
      <c r="K201" s="85"/>
      <c r="L201" s="85" t="str">
        <f>IF(2*1.09=0," ",TEXT(,ROUND((2*1.09*2.9),2)))</f>
        <v>6,32</v>
      </c>
      <c r="M201" s="85">
        <v>0.52</v>
      </c>
      <c r="N201" s="85">
        <v>1.04</v>
      </c>
    </row>
    <row r="202" spans="1:14" ht="57" x14ac:dyDescent="0.25">
      <c r="A202" s="83">
        <v>133</v>
      </c>
      <c r="B202" s="84" t="s">
        <v>849</v>
      </c>
      <c r="C202" s="84" t="s">
        <v>850</v>
      </c>
      <c r="D202" s="83" t="s">
        <v>631</v>
      </c>
      <c r="E202" s="85">
        <v>2064.6799999999998</v>
      </c>
      <c r="F202" s="85"/>
      <c r="G202" s="85"/>
      <c r="H202" s="86" t="s">
        <v>722</v>
      </c>
      <c r="I202" s="87">
        <v>16600</v>
      </c>
      <c r="J202" s="85"/>
      <c r="K202" s="85"/>
      <c r="L202" s="85" t="str">
        <f>IF(2*0=0," ",TEXT(,ROUND((2*0*4.02),2)))</f>
        <v xml:space="preserve"> </v>
      </c>
      <c r="M202" s="85"/>
      <c r="N202" s="85"/>
    </row>
    <row r="203" spans="1:14" ht="68.400000000000006" x14ac:dyDescent="0.25">
      <c r="A203" s="83">
        <v>134</v>
      </c>
      <c r="B203" s="84" t="s">
        <v>646</v>
      </c>
      <c r="C203" s="84" t="s">
        <v>805</v>
      </c>
      <c r="D203" s="83" t="s">
        <v>748</v>
      </c>
      <c r="E203" s="85" t="s">
        <v>806</v>
      </c>
      <c r="F203" s="85"/>
      <c r="G203" s="85">
        <v>1.31</v>
      </c>
      <c r="H203" s="86" t="s">
        <v>649</v>
      </c>
      <c r="I203" s="87">
        <v>1429</v>
      </c>
      <c r="J203" s="85">
        <v>1382</v>
      </c>
      <c r="K203" s="85"/>
      <c r="L203" s="85" t="str">
        <f>IF(8*1.31=0," ",TEXT(,ROUND((8*1.31*4.55),2)))</f>
        <v>47,68</v>
      </c>
      <c r="M203" s="85">
        <v>1.03</v>
      </c>
      <c r="N203" s="85">
        <v>8.24</v>
      </c>
    </row>
    <row r="204" spans="1:14" ht="57" x14ac:dyDescent="0.25">
      <c r="A204" s="83">
        <v>135</v>
      </c>
      <c r="B204" s="84" t="s">
        <v>849</v>
      </c>
      <c r="C204" s="84" t="s">
        <v>851</v>
      </c>
      <c r="D204" s="83" t="s">
        <v>631</v>
      </c>
      <c r="E204" s="85">
        <v>174.13</v>
      </c>
      <c r="F204" s="85"/>
      <c r="G204" s="85"/>
      <c r="H204" s="86" t="s">
        <v>722</v>
      </c>
      <c r="I204" s="87">
        <v>1400</v>
      </c>
      <c r="J204" s="85"/>
      <c r="K204" s="85"/>
      <c r="L204" s="85" t="str">
        <f>IF(2*0=0," ",TEXT(,ROUND((2*0*4.02),2)))</f>
        <v xml:space="preserve"> </v>
      </c>
      <c r="M204" s="85"/>
      <c r="N204" s="85"/>
    </row>
    <row r="205" spans="1:14" ht="68.400000000000006" x14ac:dyDescent="0.25">
      <c r="A205" s="83">
        <v>136</v>
      </c>
      <c r="B205" s="84" t="s">
        <v>849</v>
      </c>
      <c r="C205" s="84" t="s">
        <v>852</v>
      </c>
      <c r="D205" s="83" t="s">
        <v>692</v>
      </c>
      <c r="E205" s="85">
        <v>246.27</v>
      </c>
      <c r="F205" s="85"/>
      <c r="G205" s="85"/>
      <c r="H205" s="86" t="s">
        <v>722</v>
      </c>
      <c r="I205" s="87">
        <v>5940</v>
      </c>
      <c r="J205" s="85"/>
      <c r="K205" s="85"/>
      <c r="L205" s="85" t="str">
        <f>IF(6*0=0," ",TEXT(,ROUND((6*0*4.02),2)))</f>
        <v xml:space="preserve"> </v>
      </c>
      <c r="M205" s="85"/>
      <c r="N205" s="85"/>
    </row>
    <row r="206" spans="1:14" ht="57" x14ac:dyDescent="0.25">
      <c r="A206" s="83">
        <v>137</v>
      </c>
      <c r="B206" s="84" t="s">
        <v>849</v>
      </c>
      <c r="C206" s="84" t="s">
        <v>853</v>
      </c>
      <c r="D206" s="83" t="s">
        <v>692</v>
      </c>
      <c r="E206" s="85">
        <v>118.71</v>
      </c>
      <c r="F206" s="85"/>
      <c r="G206" s="85">
        <v>118.71</v>
      </c>
      <c r="H206" s="86" t="s">
        <v>411</v>
      </c>
      <c r="I206" s="87">
        <v>3960</v>
      </c>
      <c r="J206" s="85"/>
      <c r="K206" s="85"/>
      <c r="L206" s="85" t="str">
        <f>IF(6*118.71=0," ",TEXT(,ROUND((6*118.71*5.56),2)))</f>
        <v>3960,17</v>
      </c>
      <c r="M206" s="85"/>
      <c r="N206" s="85"/>
    </row>
    <row r="207" spans="1:14" ht="68.400000000000006" x14ac:dyDescent="0.25">
      <c r="A207" s="83">
        <v>138</v>
      </c>
      <c r="B207" s="84" t="s">
        <v>728</v>
      </c>
      <c r="C207" s="84" t="s">
        <v>854</v>
      </c>
      <c r="D207" s="83" t="s">
        <v>659</v>
      </c>
      <c r="E207" s="85" t="s">
        <v>731</v>
      </c>
      <c r="F207" s="85">
        <v>444.35</v>
      </c>
      <c r="G207" s="85">
        <v>1910.96</v>
      </c>
      <c r="H207" s="86" t="s">
        <v>732</v>
      </c>
      <c r="I207" s="87">
        <v>2427</v>
      </c>
      <c r="J207" s="85">
        <v>638</v>
      </c>
      <c r="K207" s="85">
        <v>162</v>
      </c>
      <c r="L207" s="85" t="str">
        <f>IF(0.06*1910.96=0," ",TEXT(,ROUND((0.06*1910.96*14.19),2)))</f>
        <v>1626,99</v>
      </c>
      <c r="M207" s="85">
        <v>65.400000000000006</v>
      </c>
      <c r="N207" s="85">
        <v>3.92</v>
      </c>
    </row>
    <row r="208" spans="1:14" ht="57" x14ac:dyDescent="0.25">
      <c r="A208" s="83">
        <v>139</v>
      </c>
      <c r="B208" s="84" t="s">
        <v>855</v>
      </c>
      <c r="C208" s="84" t="s">
        <v>856</v>
      </c>
      <c r="D208" s="83" t="s">
        <v>857</v>
      </c>
      <c r="E208" s="85">
        <v>9.4</v>
      </c>
      <c r="F208" s="85"/>
      <c r="G208" s="85">
        <v>9.4</v>
      </c>
      <c r="H208" s="86" t="s">
        <v>858</v>
      </c>
      <c r="I208" s="87">
        <v>-624</v>
      </c>
      <c r="J208" s="85"/>
      <c r="K208" s="85"/>
      <c r="L208" s="85" t="str">
        <f>IF(-6*9.4=0," ",TEXT(,ROUND((-6*9.4*11.061),2)))</f>
        <v>-623,84</v>
      </c>
      <c r="M208" s="85"/>
      <c r="N208" s="85"/>
    </row>
    <row r="209" spans="1:14" ht="45.6" x14ac:dyDescent="0.25">
      <c r="A209" s="83">
        <v>140</v>
      </c>
      <c r="B209" s="84" t="s">
        <v>849</v>
      </c>
      <c r="C209" s="84" t="s">
        <v>859</v>
      </c>
      <c r="D209" s="83" t="s">
        <v>692</v>
      </c>
      <c r="E209" s="85">
        <v>39.57</v>
      </c>
      <c r="F209" s="85"/>
      <c r="G209" s="85">
        <v>39.57</v>
      </c>
      <c r="H209" s="86" t="s">
        <v>411</v>
      </c>
      <c r="I209" s="87">
        <v>1320</v>
      </c>
      <c r="J209" s="85"/>
      <c r="K209" s="85"/>
      <c r="L209" s="85" t="str">
        <f>IF(6*39.57=0," ",TEXT(,ROUND((6*39.57*5.56),2)))</f>
        <v>1320,06</v>
      </c>
      <c r="M209" s="85"/>
      <c r="N209" s="85"/>
    </row>
    <row r="210" spans="1:14" ht="91.2" x14ac:dyDescent="0.25">
      <c r="A210" s="83">
        <v>141</v>
      </c>
      <c r="B210" s="84" t="s">
        <v>860</v>
      </c>
      <c r="C210" s="84" t="s">
        <v>861</v>
      </c>
      <c r="D210" s="83" t="s">
        <v>631</v>
      </c>
      <c r="E210" s="85" t="s">
        <v>862</v>
      </c>
      <c r="F210" s="85">
        <v>1.74</v>
      </c>
      <c r="G210" s="85">
        <v>2.5299999999999998</v>
      </c>
      <c r="H210" s="86" t="s">
        <v>863</v>
      </c>
      <c r="I210" s="87">
        <v>1493</v>
      </c>
      <c r="J210" s="85">
        <v>1431</v>
      </c>
      <c r="K210" s="85">
        <v>32</v>
      </c>
      <c r="L210" s="85" t="str">
        <f>IF(2*2.53=0," ",TEXT(,ROUND((2*2.53*6.07),2)))</f>
        <v>30,71</v>
      </c>
      <c r="M210" s="85">
        <v>4.4000000000000004</v>
      </c>
      <c r="N210" s="85">
        <v>8.8000000000000007</v>
      </c>
    </row>
    <row r="211" spans="1:14" ht="57" x14ac:dyDescent="0.25">
      <c r="A211" s="83">
        <v>142</v>
      </c>
      <c r="B211" s="84" t="s">
        <v>864</v>
      </c>
      <c r="C211" s="84" t="s">
        <v>865</v>
      </c>
      <c r="D211" s="83" t="s">
        <v>631</v>
      </c>
      <c r="E211" s="85">
        <v>5591.58</v>
      </c>
      <c r="F211" s="85"/>
      <c r="G211" s="85">
        <v>5591.58</v>
      </c>
      <c r="H211" s="86" t="s">
        <v>411</v>
      </c>
      <c r="I211" s="87">
        <v>62178</v>
      </c>
      <c r="J211" s="85"/>
      <c r="K211" s="85"/>
      <c r="L211" s="85" t="str">
        <f>IF(2*5591.58=0," ",TEXT(,ROUND((2*5591.58*5.56),2)))</f>
        <v>62178,37</v>
      </c>
      <c r="M211" s="85"/>
      <c r="N211" s="85"/>
    </row>
    <row r="212" spans="1:14" ht="91.2" x14ac:dyDescent="0.25">
      <c r="A212" s="83">
        <v>143</v>
      </c>
      <c r="B212" s="84" t="s">
        <v>866</v>
      </c>
      <c r="C212" s="84" t="s">
        <v>867</v>
      </c>
      <c r="D212" s="83" t="s">
        <v>703</v>
      </c>
      <c r="E212" s="85">
        <v>21.47</v>
      </c>
      <c r="F212" s="85"/>
      <c r="G212" s="85">
        <v>21.47</v>
      </c>
      <c r="H212" s="86" t="s">
        <v>868</v>
      </c>
      <c r="I212" s="87">
        <v>516</v>
      </c>
      <c r="J212" s="85"/>
      <c r="K212" s="85"/>
      <c r="L212" s="85" t="str">
        <f>IF(4*21.47=0," ",TEXT(,ROUND((4*21.47*6.01),2)))</f>
        <v>516,14</v>
      </c>
      <c r="M212" s="85"/>
      <c r="N212" s="85"/>
    </row>
    <row r="213" spans="1:14" ht="68.400000000000006" x14ac:dyDescent="0.25">
      <c r="A213" s="83">
        <v>144</v>
      </c>
      <c r="B213" s="84" t="s">
        <v>869</v>
      </c>
      <c r="C213" s="84" t="s">
        <v>870</v>
      </c>
      <c r="D213" s="83" t="s">
        <v>631</v>
      </c>
      <c r="E213" s="85">
        <v>12582.79</v>
      </c>
      <c r="F213" s="85"/>
      <c r="G213" s="85"/>
      <c r="H213" s="86" t="s">
        <v>722</v>
      </c>
      <c r="I213" s="87">
        <v>101166</v>
      </c>
      <c r="J213" s="85"/>
      <c r="K213" s="85"/>
      <c r="L213" s="85" t="str">
        <f>IF(2*0=0," ",TEXT(,ROUND((2*0*4.02),2)))</f>
        <v xml:space="preserve"> </v>
      </c>
      <c r="M213" s="85"/>
      <c r="N213" s="85"/>
    </row>
    <row r="214" spans="1:14" ht="91.2" x14ac:dyDescent="0.25">
      <c r="A214" s="83">
        <v>145</v>
      </c>
      <c r="B214" s="84" t="s">
        <v>871</v>
      </c>
      <c r="C214" s="84" t="s">
        <v>872</v>
      </c>
      <c r="D214" s="83" t="s">
        <v>631</v>
      </c>
      <c r="E214" s="85" t="s">
        <v>873</v>
      </c>
      <c r="F214" s="85">
        <v>2.62</v>
      </c>
      <c r="G214" s="85">
        <v>3.77</v>
      </c>
      <c r="H214" s="86" t="s">
        <v>863</v>
      </c>
      <c r="I214" s="87">
        <v>1524</v>
      </c>
      <c r="J214" s="85">
        <v>1431</v>
      </c>
      <c r="K214" s="85">
        <v>48</v>
      </c>
      <c r="L214" s="85" t="str">
        <f>IF(2*3.77=0," ",TEXT(,ROUND((2*3.77*6.07),2)))</f>
        <v>45,77</v>
      </c>
      <c r="M214" s="85">
        <v>4.4000000000000004</v>
      </c>
      <c r="N214" s="85">
        <v>8.8000000000000007</v>
      </c>
    </row>
    <row r="215" spans="1:14" ht="57" x14ac:dyDescent="0.25">
      <c r="A215" s="83">
        <v>146</v>
      </c>
      <c r="B215" s="84" t="s">
        <v>874</v>
      </c>
      <c r="C215" s="84" t="s">
        <v>875</v>
      </c>
      <c r="D215" s="83" t="s">
        <v>631</v>
      </c>
      <c r="E215" s="85">
        <v>6878.55</v>
      </c>
      <c r="F215" s="85"/>
      <c r="G215" s="85">
        <v>6878.55</v>
      </c>
      <c r="H215" s="86" t="s">
        <v>411</v>
      </c>
      <c r="I215" s="87">
        <v>76489</v>
      </c>
      <c r="J215" s="85"/>
      <c r="K215" s="85"/>
      <c r="L215" s="85" t="str">
        <f>IF(2*6878.55=0," ",TEXT(,ROUND((2*6878.55*5.56),2)))</f>
        <v>76489,48</v>
      </c>
      <c r="M215" s="85"/>
      <c r="N215" s="85"/>
    </row>
    <row r="216" spans="1:14" ht="91.2" x14ac:dyDescent="0.25">
      <c r="A216" s="83">
        <v>147</v>
      </c>
      <c r="B216" s="84" t="s">
        <v>801</v>
      </c>
      <c r="C216" s="84" t="s">
        <v>802</v>
      </c>
      <c r="D216" s="83" t="s">
        <v>703</v>
      </c>
      <c r="E216" s="85">
        <v>23.4</v>
      </c>
      <c r="F216" s="85"/>
      <c r="G216" s="85">
        <v>23.4</v>
      </c>
      <c r="H216" s="86" t="s">
        <v>803</v>
      </c>
      <c r="I216" s="87">
        <v>755</v>
      </c>
      <c r="J216" s="85"/>
      <c r="K216" s="85"/>
      <c r="L216" s="85" t="str">
        <f>IF(4*23.4=0," ",TEXT(,ROUND((4*23.4*8.069),2)))</f>
        <v>755,26</v>
      </c>
      <c r="M216" s="85"/>
      <c r="N216" s="85"/>
    </row>
    <row r="217" spans="1:14" ht="57" x14ac:dyDescent="0.25">
      <c r="A217" s="83">
        <v>148</v>
      </c>
      <c r="B217" s="84" t="s">
        <v>876</v>
      </c>
      <c r="C217" s="84" t="s">
        <v>877</v>
      </c>
      <c r="D217" s="83" t="s">
        <v>631</v>
      </c>
      <c r="E217" s="85">
        <v>9861</v>
      </c>
      <c r="F217" s="85"/>
      <c r="G217" s="85"/>
      <c r="H217" s="86" t="s">
        <v>722</v>
      </c>
      <c r="I217" s="87">
        <v>79282</v>
      </c>
      <c r="J217" s="85"/>
      <c r="K217" s="85"/>
      <c r="L217" s="85" t="str">
        <f>IF(2*0=0," ",TEXT(,ROUND((2*0*4.02),2)))</f>
        <v xml:space="preserve"> </v>
      </c>
      <c r="M217" s="85"/>
      <c r="N217" s="85"/>
    </row>
    <row r="218" spans="1:14" ht="68.400000000000006" x14ac:dyDescent="0.25">
      <c r="A218" s="83">
        <v>149</v>
      </c>
      <c r="B218" s="84" t="s">
        <v>878</v>
      </c>
      <c r="C218" s="84" t="s">
        <v>879</v>
      </c>
      <c r="D218" s="83" t="s">
        <v>631</v>
      </c>
      <c r="E218" s="85" t="s">
        <v>880</v>
      </c>
      <c r="F218" s="85"/>
      <c r="G218" s="85">
        <v>2.14</v>
      </c>
      <c r="H218" s="86" t="s">
        <v>881</v>
      </c>
      <c r="I218" s="87">
        <v>706</v>
      </c>
      <c r="J218" s="85">
        <v>690</v>
      </c>
      <c r="K218" s="85"/>
      <c r="L218" s="85" t="str">
        <f>IF(2*2.14=0," ",TEXT(,ROUND((2*2.14*3.82),2)))</f>
        <v>16,35</v>
      </c>
      <c r="M218" s="85">
        <v>2.06</v>
      </c>
      <c r="N218" s="85">
        <v>4.12</v>
      </c>
    </row>
    <row r="219" spans="1:14" ht="57" x14ac:dyDescent="0.25">
      <c r="A219" s="83">
        <v>150</v>
      </c>
      <c r="B219" s="84" t="s">
        <v>510</v>
      </c>
      <c r="C219" s="84" t="s">
        <v>882</v>
      </c>
      <c r="D219" s="83" t="s">
        <v>631</v>
      </c>
      <c r="E219" s="85">
        <v>41257.49</v>
      </c>
      <c r="F219" s="85"/>
      <c r="G219" s="85"/>
      <c r="H219" s="86" t="s">
        <v>722</v>
      </c>
      <c r="I219" s="87">
        <v>331710</v>
      </c>
      <c r="J219" s="85"/>
      <c r="K219" s="85"/>
      <c r="L219" s="85" t="str">
        <f>IF(2*0=0," ",TEXT(,ROUND((2*0*4.02),2)))</f>
        <v xml:space="preserve"> </v>
      </c>
      <c r="M219" s="85"/>
      <c r="N219" s="85"/>
    </row>
    <row r="220" spans="1:14" ht="91.2" x14ac:dyDescent="0.25">
      <c r="A220" s="83">
        <v>151</v>
      </c>
      <c r="B220" s="84" t="s">
        <v>762</v>
      </c>
      <c r="C220" s="84" t="s">
        <v>763</v>
      </c>
      <c r="D220" s="83" t="s">
        <v>703</v>
      </c>
      <c r="E220" s="85">
        <v>25</v>
      </c>
      <c r="F220" s="85"/>
      <c r="G220" s="85">
        <v>25</v>
      </c>
      <c r="H220" s="86" t="s">
        <v>764</v>
      </c>
      <c r="I220" s="87">
        <v>836</v>
      </c>
      <c r="J220" s="85"/>
      <c r="K220" s="85"/>
      <c r="L220" s="85" t="str">
        <f>IF(4*25=0," ",TEXT(,ROUND((4*25*8.358),2)))</f>
        <v>835,8</v>
      </c>
      <c r="M220" s="85"/>
      <c r="N220" s="85"/>
    </row>
    <row r="221" spans="1:14" ht="45.6" x14ac:dyDescent="0.25">
      <c r="A221" s="83">
        <v>152</v>
      </c>
      <c r="B221" s="84" t="s">
        <v>883</v>
      </c>
      <c r="C221" s="84" t="s">
        <v>884</v>
      </c>
      <c r="D221" s="83" t="s">
        <v>631</v>
      </c>
      <c r="E221" s="85">
        <v>762.41</v>
      </c>
      <c r="F221" s="85"/>
      <c r="G221" s="85">
        <v>762.41</v>
      </c>
      <c r="H221" s="86" t="s">
        <v>411</v>
      </c>
      <c r="I221" s="87">
        <v>8478</v>
      </c>
      <c r="J221" s="85"/>
      <c r="K221" s="85"/>
      <c r="L221" s="85" t="str">
        <f>IF(2*762.41=0," ",TEXT(,ROUND((2*762.41*5.56),2)))</f>
        <v>8478</v>
      </c>
      <c r="M221" s="85"/>
      <c r="N221" s="85"/>
    </row>
    <row r="222" spans="1:14" ht="68.400000000000006" x14ac:dyDescent="0.25">
      <c r="A222" s="83">
        <v>153</v>
      </c>
      <c r="B222" s="84" t="s">
        <v>885</v>
      </c>
      <c r="C222" s="84" t="s">
        <v>886</v>
      </c>
      <c r="D222" s="83" t="s">
        <v>631</v>
      </c>
      <c r="E222" s="85" t="s">
        <v>887</v>
      </c>
      <c r="F222" s="85" t="s">
        <v>888</v>
      </c>
      <c r="G222" s="85">
        <v>3</v>
      </c>
      <c r="H222" s="86" t="s">
        <v>889</v>
      </c>
      <c r="I222" s="87">
        <v>1481</v>
      </c>
      <c r="J222" s="85">
        <v>795</v>
      </c>
      <c r="K222" s="85" t="s">
        <v>890</v>
      </c>
      <c r="L222" s="85" t="str">
        <f>IF(2*3=0," ",TEXT(,ROUND((2*3*4.2),2)))</f>
        <v>25,2</v>
      </c>
      <c r="M222" s="85" t="s">
        <v>891</v>
      </c>
      <c r="N222" s="85" t="s">
        <v>892</v>
      </c>
    </row>
    <row r="223" spans="1:14" ht="57" x14ac:dyDescent="0.25">
      <c r="A223" s="83">
        <v>154</v>
      </c>
      <c r="B223" s="84" t="s">
        <v>893</v>
      </c>
      <c r="C223" s="84" t="s">
        <v>894</v>
      </c>
      <c r="D223" s="83" t="s">
        <v>631</v>
      </c>
      <c r="E223" s="85">
        <v>6761.19</v>
      </c>
      <c r="F223" s="85"/>
      <c r="G223" s="85"/>
      <c r="H223" s="86" t="s">
        <v>722</v>
      </c>
      <c r="I223" s="87">
        <v>54360</v>
      </c>
      <c r="J223" s="85"/>
      <c r="K223" s="85"/>
      <c r="L223" s="85" t="str">
        <f>IF(2*0=0," ",TEXT(,ROUND((2*0*4.02),2)))</f>
        <v xml:space="preserve"> </v>
      </c>
      <c r="M223" s="85"/>
      <c r="N223" s="85"/>
    </row>
    <row r="224" spans="1:14" ht="17.850000000000001" customHeight="1" x14ac:dyDescent="0.25">
      <c r="A224" s="126" t="s">
        <v>895</v>
      </c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</row>
    <row r="225" spans="1:14" ht="148.19999999999999" x14ac:dyDescent="0.25">
      <c r="A225" s="83">
        <v>155</v>
      </c>
      <c r="B225" s="84" t="s">
        <v>479</v>
      </c>
      <c r="C225" s="84" t="s">
        <v>480</v>
      </c>
      <c r="D225" s="83" t="s">
        <v>896</v>
      </c>
      <c r="E225" s="85" t="s">
        <v>481</v>
      </c>
      <c r="F225" s="85" t="s">
        <v>482</v>
      </c>
      <c r="G225" s="85">
        <v>202.72</v>
      </c>
      <c r="H225" s="86" t="s">
        <v>483</v>
      </c>
      <c r="I225" s="87">
        <v>318</v>
      </c>
      <c r="J225" s="85">
        <v>167</v>
      </c>
      <c r="K225" s="85">
        <v>20</v>
      </c>
      <c r="L225" s="85" t="str">
        <f>IF(0.152*202.72=0," ",TEXT(,ROUND((0.152*202.72*4.27),2)))</f>
        <v>131,57</v>
      </c>
      <c r="M225" s="85" t="s">
        <v>485</v>
      </c>
      <c r="N225" s="85">
        <v>0.93</v>
      </c>
    </row>
    <row r="226" spans="1:14" ht="182.4" x14ac:dyDescent="0.25">
      <c r="A226" s="83">
        <v>156</v>
      </c>
      <c r="B226" s="84" t="s">
        <v>487</v>
      </c>
      <c r="C226" s="84" t="s">
        <v>897</v>
      </c>
      <c r="D226" s="83" t="s">
        <v>896</v>
      </c>
      <c r="E226" s="85" t="s">
        <v>489</v>
      </c>
      <c r="F226" s="85" t="s">
        <v>490</v>
      </c>
      <c r="G226" s="85">
        <v>401.56</v>
      </c>
      <c r="H226" s="86" t="s">
        <v>491</v>
      </c>
      <c r="I226" s="87">
        <v>486</v>
      </c>
      <c r="J226" s="85">
        <v>154</v>
      </c>
      <c r="K226" s="85" t="s">
        <v>898</v>
      </c>
      <c r="L226" s="85" t="str">
        <f>IF(0.152*401.56=0," ",TEXT(,ROUND((0.152*401.56*4.59),2)))</f>
        <v>280,16</v>
      </c>
      <c r="M226" s="85" t="s">
        <v>493</v>
      </c>
      <c r="N226" s="85">
        <v>1.01</v>
      </c>
    </row>
    <row r="227" spans="1:14" ht="159.6" x14ac:dyDescent="0.25">
      <c r="A227" s="83">
        <v>157</v>
      </c>
      <c r="B227" s="84" t="s">
        <v>899</v>
      </c>
      <c r="C227" s="84" t="s">
        <v>900</v>
      </c>
      <c r="D227" s="83" t="s">
        <v>901</v>
      </c>
      <c r="E227" s="85" t="s">
        <v>902</v>
      </c>
      <c r="F227" s="85">
        <v>71.44</v>
      </c>
      <c r="G227" s="85">
        <v>1320.96</v>
      </c>
      <c r="H227" s="86" t="s">
        <v>903</v>
      </c>
      <c r="I227" s="87">
        <v>10733</v>
      </c>
      <c r="J227" s="85">
        <v>4291</v>
      </c>
      <c r="K227" s="85">
        <v>1005</v>
      </c>
      <c r="L227" s="85" t="str">
        <f>IF(1.2*1320.96=0," ",TEXT(,ROUND((1.2*1320.96*3.43),2)))</f>
        <v>5437,07</v>
      </c>
      <c r="M227" s="85">
        <v>21.68</v>
      </c>
      <c r="N227" s="85">
        <v>26.02</v>
      </c>
    </row>
    <row r="228" spans="1:14" ht="68.400000000000006" x14ac:dyDescent="0.25">
      <c r="A228" s="83">
        <v>158</v>
      </c>
      <c r="B228" s="84" t="s">
        <v>904</v>
      </c>
      <c r="C228" s="84" t="s">
        <v>905</v>
      </c>
      <c r="D228" s="83" t="s">
        <v>906</v>
      </c>
      <c r="E228" s="85">
        <v>542.4</v>
      </c>
      <c r="F228" s="85"/>
      <c r="G228" s="85">
        <v>542.4</v>
      </c>
      <c r="H228" s="86" t="s">
        <v>907</v>
      </c>
      <c r="I228" s="87">
        <v>-3350</v>
      </c>
      <c r="J228" s="85"/>
      <c r="K228" s="85"/>
      <c r="L228" s="85" t="str">
        <f>IF(-1.848*542.4=0," ",TEXT(,ROUND((-1.848*542.4*3.342),2)))</f>
        <v>-3349,87</v>
      </c>
      <c r="M228" s="85"/>
      <c r="N228" s="85"/>
    </row>
    <row r="229" spans="1:14" ht="45.6" x14ac:dyDescent="0.25">
      <c r="A229" s="83">
        <v>159</v>
      </c>
      <c r="B229" s="84" t="s">
        <v>517</v>
      </c>
      <c r="C229" s="84" t="s">
        <v>908</v>
      </c>
      <c r="D229" s="83" t="s">
        <v>909</v>
      </c>
      <c r="E229" s="85">
        <v>696.56</v>
      </c>
      <c r="F229" s="85"/>
      <c r="G229" s="85">
        <v>696.56</v>
      </c>
      <c r="H229" s="86" t="s">
        <v>411</v>
      </c>
      <c r="I229" s="87">
        <v>7157</v>
      </c>
      <c r="J229" s="85"/>
      <c r="K229" s="85"/>
      <c r="L229" s="85" t="str">
        <f>IF(1.848*696.56=0," ",TEXT(,ROUND((1.848*696.56*5.56),2)))</f>
        <v>7157,07</v>
      </c>
      <c r="M229" s="85"/>
      <c r="N229" s="85"/>
    </row>
    <row r="230" spans="1:14" ht="17.850000000000001" customHeight="1" x14ac:dyDescent="0.25">
      <c r="A230" s="126" t="s">
        <v>910</v>
      </c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</row>
    <row r="231" spans="1:14" ht="79.8" x14ac:dyDescent="0.25">
      <c r="A231" s="83">
        <v>160</v>
      </c>
      <c r="B231" s="84" t="s">
        <v>911</v>
      </c>
      <c r="C231" s="84" t="s">
        <v>912</v>
      </c>
      <c r="D231" s="83" t="s">
        <v>913</v>
      </c>
      <c r="E231" s="85" t="s">
        <v>914</v>
      </c>
      <c r="F231" s="85" t="s">
        <v>915</v>
      </c>
      <c r="G231" s="85">
        <v>64.52</v>
      </c>
      <c r="H231" s="86" t="s">
        <v>916</v>
      </c>
      <c r="I231" s="87">
        <v>5176</v>
      </c>
      <c r="J231" s="85">
        <v>4159</v>
      </c>
      <c r="K231" s="85" t="s">
        <v>917</v>
      </c>
      <c r="L231" s="85" t="str">
        <f>IF(1.62*64.52=0," ",TEXT(,ROUND((1.62*64.52*3.46),2)))</f>
        <v>361,65</v>
      </c>
      <c r="M231" s="85" t="s">
        <v>918</v>
      </c>
      <c r="N231" s="85" t="s">
        <v>919</v>
      </c>
    </row>
    <row r="232" spans="1:14" ht="57" x14ac:dyDescent="0.25">
      <c r="A232" s="83">
        <v>161</v>
      </c>
      <c r="B232" s="84" t="s">
        <v>920</v>
      </c>
      <c r="C232" s="84" t="s">
        <v>921</v>
      </c>
      <c r="D232" s="83" t="s">
        <v>922</v>
      </c>
      <c r="E232" s="85">
        <v>2.15</v>
      </c>
      <c r="F232" s="85"/>
      <c r="G232" s="85">
        <v>2.15</v>
      </c>
      <c r="H232" s="86" t="s">
        <v>923</v>
      </c>
      <c r="I232" s="87">
        <v>429</v>
      </c>
      <c r="J232" s="85"/>
      <c r="K232" s="85"/>
      <c r="L232" s="85" t="str">
        <f>IF(162*2.15=0," ",TEXT(,ROUND((162*2.15*1.234),2)))</f>
        <v>429,8</v>
      </c>
      <c r="M232" s="85"/>
      <c r="N232" s="85"/>
    </row>
    <row r="233" spans="1:14" ht="57" x14ac:dyDescent="0.25">
      <c r="A233" s="83">
        <v>162</v>
      </c>
      <c r="B233" s="84" t="s">
        <v>924</v>
      </c>
      <c r="C233" s="84" t="s">
        <v>925</v>
      </c>
      <c r="D233" s="83" t="s">
        <v>926</v>
      </c>
      <c r="E233" s="85" t="s">
        <v>927</v>
      </c>
      <c r="F233" s="85" t="s">
        <v>928</v>
      </c>
      <c r="G233" s="85">
        <v>69.930000000000007</v>
      </c>
      <c r="H233" s="86" t="s">
        <v>929</v>
      </c>
      <c r="I233" s="87">
        <v>516</v>
      </c>
      <c r="J233" s="85">
        <v>473</v>
      </c>
      <c r="K233" s="85">
        <v>26</v>
      </c>
      <c r="L233" s="85" t="str">
        <f>IF(0.16*69.93=0," ",TEXT(,ROUND((0.16*69.93*1.58),2)))</f>
        <v>17,68</v>
      </c>
      <c r="M233" s="85" t="s">
        <v>930</v>
      </c>
      <c r="N233" s="85">
        <v>2.94</v>
      </c>
    </row>
    <row r="234" spans="1:14" ht="57" x14ac:dyDescent="0.25">
      <c r="A234" s="83">
        <v>163</v>
      </c>
      <c r="B234" s="84" t="s">
        <v>931</v>
      </c>
      <c r="C234" s="84" t="s">
        <v>932</v>
      </c>
      <c r="D234" s="83" t="s">
        <v>926</v>
      </c>
      <c r="E234" s="85">
        <v>680</v>
      </c>
      <c r="F234" s="85"/>
      <c r="G234" s="85">
        <v>680</v>
      </c>
      <c r="H234" s="86" t="s">
        <v>933</v>
      </c>
      <c r="I234" s="87">
        <v>723</v>
      </c>
      <c r="J234" s="85"/>
      <c r="K234" s="85"/>
      <c r="L234" s="85" t="str">
        <f>IF(0.16*680=0," ",TEXT(,ROUND((0.16*680*6.649),2)))</f>
        <v>723,41</v>
      </c>
      <c r="M234" s="85"/>
      <c r="N234" s="85"/>
    </row>
    <row r="235" spans="1:14" ht="57" x14ac:dyDescent="0.25">
      <c r="A235" s="83">
        <v>164</v>
      </c>
      <c r="B235" s="84" t="s">
        <v>934</v>
      </c>
      <c r="C235" s="84" t="s">
        <v>935</v>
      </c>
      <c r="D235" s="83" t="s">
        <v>936</v>
      </c>
      <c r="E235" s="85" t="s">
        <v>937</v>
      </c>
      <c r="F235" s="85" t="s">
        <v>938</v>
      </c>
      <c r="G235" s="85">
        <v>12.82</v>
      </c>
      <c r="H235" s="86" t="s">
        <v>939</v>
      </c>
      <c r="I235" s="87">
        <v>750</v>
      </c>
      <c r="J235" s="85">
        <v>645</v>
      </c>
      <c r="K235" s="85" t="s">
        <v>940</v>
      </c>
      <c r="L235" s="85" t="str">
        <f>IF(1.44*12.82=0," ",TEXT(,ROUND((1.44*12.82*3.93),2)))</f>
        <v>72,55</v>
      </c>
      <c r="M235" s="85" t="s">
        <v>941</v>
      </c>
      <c r="N235" s="85" t="s">
        <v>942</v>
      </c>
    </row>
    <row r="236" spans="1:14" ht="136.80000000000001" x14ac:dyDescent="0.25">
      <c r="A236" s="83">
        <v>165</v>
      </c>
      <c r="B236" s="84" t="s">
        <v>943</v>
      </c>
      <c r="C236" s="84" t="s">
        <v>944</v>
      </c>
      <c r="D236" s="83" t="s">
        <v>945</v>
      </c>
      <c r="E236" s="85">
        <v>4832.12</v>
      </c>
      <c r="F236" s="85"/>
      <c r="G236" s="85">
        <v>4832.12</v>
      </c>
      <c r="H236" s="86" t="s">
        <v>946</v>
      </c>
      <c r="I236" s="87">
        <v>2495</v>
      </c>
      <c r="J236" s="85"/>
      <c r="K236" s="85"/>
      <c r="L236" s="85" t="str">
        <f>IF(0.0816*4832.12=0," ",TEXT(,ROUND((0.0816*4832.12*6.327),2)))</f>
        <v>2494,74</v>
      </c>
      <c r="M236" s="85"/>
      <c r="N236" s="85"/>
    </row>
    <row r="237" spans="1:14" ht="136.80000000000001" x14ac:dyDescent="0.25">
      <c r="A237" s="83">
        <v>166</v>
      </c>
      <c r="B237" s="84" t="s">
        <v>947</v>
      </c>
      <c r="C237" s="84" t="s">
        <v>948</v>
      </c>
      <c r="D237" s="83" t="s">
        <v>949</v>
      </c>
      <c r="E237" s="85">
        <v>6920.41</v>
      </c>
      <c r="F237" s="85"/>
      <c r="G237" s="85">
        <v>6920.41</v>
      </c>
      <c r="H237" s="86" t="s">
        <v>950</v>
      </c>
      <c r="I237" s="87">
        <v>925</v>
      </c>
      <c r="J237" s="85"/>
      <c r="K237" s="85"/>
      <c r="L237" s="85" t="str">
        <f>IF(0.0204*6920.41=0," ",TEXT(,ROUND((0.0204*6920.41*6.553),2)))</f>
        <v>925,13</v>
      </c>
      <c r="M237" s="85"/>
      <c r="N237" s="85"/>
    </row>
    <row r="238" spans="1:14" ht="136.80000000000001" x14ac:dyDescent="0.25">
      <c r="A238" s="83">
        <v>167</v>
      </c>
      <c r="B238" s="84" t="s">
        <v>951</v>
      </c>
      <c r="C238" s="84" t="s">
        <v>952</v>
      </c>
      <c r="D238" s="83" t="s">
        <v>953</v>
      </c>
      <c r="E238" s="85">
        <v>6557.53</v>
      </c>
      <c r="F238" s="85"/>
      <c r="G238" s="85">
        <v>6557.53</v>
      </c>
      <c r="H238" s="86" t="s">
        <v>954</v>
      </c>
      <c r="I238" s="87">
        <v>1672</v>
      </c>
      <c r="J238" s="85"/>
      <c r="K238" s="85"/>
      <c r="L238" s="85" t="str">
        <f>IF(0.0408*6557.53=0," ",TEXT(,ROUND((0.0408*6557.53*6.25),2)))</f>
        <v>1672,17</v>
      </c>
      <c r="M238" s="85"/>
      <c r="N238" s="85"/>
    </row>
    <row r="239" spans="1:14" ht="79.8" x14ac:dyDescent="0.25">
      <c r="A239" s="83">
        <v>168</v>
      </c>
      <c r="B239" s="84" t="s">
        <v>955</v>
      </c>
      <c r="C239" s="84" t="s">
        <v>956</v>
      </c>
      <c r="D239" s="83" t="s">
        <v>957</v>
      </c>
      <c r="E239" s="85">
        <v>4134.96</v>
      </c>
      <c r="F239" s="85"/>
      <c r="G239" s="85">
        <v>4134.96</v>
      </c>
      <c r="H239" s="86" t="s">
        <v>411</v>
      </c>
      <c r="I239" s="87">
        <v>3752</v>
      </c>
      <c r="J239" s="85"/>
      <c r="K239" s="85"/>
      <c r="L239" s="85" t="str">
        <f>IF(0.1632*4134.96=0," ",TEXT(,ROUND((0.1632*4134.96*5.56),2)))</f>
        <v>3752,03</v>
      </c>
      <c r="M239" s="85"/>
      <c r="N239" s="85"/>
    </row>
    <row r="240" spans="1:14" ht="45.6" x14ac:dyDescent="0.25">
      <c r="A240" s="83">
        <v>169</v>
      </c>
      <c r="B240" s="84" t="s">
        <v>958</v>
      </c>
      <c r="C240" s="84" t="s">
        <v>959</v>
      </c>
      <c r="D240" s="83" t="s">
        <v>960</v>
      </c>
      <c r="E240" s="85">
        <v>3.58</v>
      </c>
      <c r="F240" s="85"/>
      <c r="G240" s="85">
        <v>3.58</v>
      </c>
      <c r="H240" s="86" t="s">
        <v>411</v>
      </c>
      <c r="I240" s="87">
        <v>123</v>
      </c>
      <c r="J240" s="85"/>
      <c r="K240" s="85"/>
      <c r="L240" s="85" t="str">
        <f>IF(6.18*3.58=0," ",TEXT(,ROUND((6.18*3.58*5.56),2)))</f>
        <v>123,01</v>
      </c>
      <c r="M240" s="85"/>
      <c r="N240" s="85"/>
    </row>
    <row r="241" spans="1:14" ht="79.8" x14ac:dyDescent="0.25">
      <c r="A241" s="83">
        <v>170</v>
      </c>
      <c r="B241" s="84" t="s">
        <v>961</v>
      </c>
      <c r="C241" s="84" t="s">
        <v>962</v>
      </c>
      <c r="D241" s="83" t="s">
        <v>963</v>
      </c>
      <c r="E241" s="85" t="s">
        <v>964</v>
      </c>
      <c r="F241" s="85"/>
      <c r="G241" s="85">
        <v>44.53</v>
      </c>
      <c r="H241" s="86" t="s">
        <v>965</v>
      </c>
      <c r="I241" s="87">
        <v>1543</v>
      </c>
      <c r="J241" s="85">
        <v>1376</v>
      </c>
      <c r="K241" s="85"/>
      <c r="L241" s="85" t="str">
        <f>IF(0.9*44.53=0," ",TEXT(,ROUND((0.9*44.53*4.15),2)))</f>
        <v>166,32</v>
      </c>
      <c r="M241" s="85">
        <v>9.27</v>
      </c>
      <c r="N241" s="85">
        <v>8.34</v>
      </c>
    </row>
    <row r="242" spans="1:14" ht="17.850000000000001" customHeight="1" x14ac:dyDescent="0.25">
      <c r="A242" s="126" t="s">
        <v>966</v>
      </c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</row>
    <row r="243" spans="1:14" ht="57" x14ac:dyDescent="0.25">
      <c r="A243" s="83">
        <v>171</v>
      </c>
      <c r="B243" s="84" t="s">
        <v>967</v>
      </c>
      <c r="C243" s="84" t="s">
        <v>968</v>
      </c>
      <c r="D243" s="83" t="s">
        <v>969</v>
      </c>
      <c r="E243" s="85" t="s">
        <v>970</v>
      </c>
      <c r="F243" s="85" t="s">
        <v>971</v>
      </c>
      <c r="G243" s="85"/>
      <c r="H243" s="86" t="s">
        <v>972</v>
      </c>
      <c r="I243" s="87">
        <v>327</v>
      </c>
      <c r="J243" s="85">
        <v>176</v>
      </c>
      <c r="K243" s="85" t="s">
        <v>973</v>
      </c>
      <c r="L243" s="85" t="str">
        <f>IF(0.011*0=0," ",TEXT(,ROUND((0.011*0*1),2)))</f>
        <v xml:space="preserve"> </v>
      </c>
      <c r="M243" s="85" t="s">
        <v>974</v>
      </c>
      <c r="N243" s="85" t="s">
        <v>975</v>
      </c>
    </row>
    <row r="244" spans="1:14" ht="125.4" x14ac:dyDescent="0.25">
      <c r="A244" s="83">
        <v>172</v>
      </c>
      <c r="B244" s="84" t="s">
        <v>976</v>
      </c>
      <c r="C244" s="84" t="s">
        <v>977</v>
      </c>
      <c r="D244" s="83" t="s">
        <v>687</v>
      </c>
      <c r="E244" s="85" t="s">
        <v>978</v>
      </c>
      <c r="F244" s="85" t="s">
        <v>979</v>
      </c>
      <c r="G244" s="85">
        <v>823.32</v>
      </c>
      <c r="H244" s="86" t="s">
        <v>980</v>
      </c>
      <c r="I244" s="87">
        <v>2194</v>
      </c>
      <c r="J244" s="85">
        <v>457</v>
      </c>
      <c r="K244" s="85" t="s">
        <v>981</v>
      </c>
      <c r="L244" s="85" t="str">
        <f>IF(0.4*823.32=0," ",TEXT(,ROUND((0.4*823.32*4.7),2)))</f>
        <v>1547,84</v>
      </c>
      <c r="M244" s="85" t="s">
        <v>982</v>
      </c>
      <c r="N244" s="85" t="s">
        <v>983</v>
      </c>
    </row>
    <row r="245" spans="1:14" ht="136.80000000000001" x14ac:dyDescent="0.25">
      <c r="A245" s="83">
        <v>173</v>
      </c>
      <c r="B245" s="84" t="s">
        <v>984</v>
      </c>
      <c r="C245" s="84" t="s">
        <v>985</v>
      </c>
      <c r="D245" s="83" t="s">
        <v>986</v>
      </c>
      <c r="E245" s="85" t="s">
        <v>987</v>
      </c>
      <c r="F245" s="85" t="s">
        <v>988</v>
      </c>
      <c r="G245" s="85">
        <v>55590.49</v>
      </c>
      <c r="H245" s="86" t="s">
        <v>989</v>
      </c>
      <c r="I245" s="87">
        <v>165</v>
      </c>
      <c r="J245" s="85">
        <v>14</v>
      </c>
      <c r="K245" s="85" t="s">
        <v>990</v>
      </c>
      <c r="L245" s="85" t="str">
        <f>IF(0.0005*55590.49=0," ",TEXT(,ROUND((0.0005*55590.49*5.02),2)))</f>
        <v>139,53</v>
      </c>
      <c r="M245" s="85" t="s">
        <v>991</v>
      </c>
      <c r="N245" s="85" t="s">
        <v>992</v>
      </c>
    </row>
    <row r="246" spans="1:14" ht="57" x14ac:dyDescent="0.25">
      <c r="A246" s="83">
        <v>174</v>
      </c>
      <c r="B246" s="84" t="s">
        <v>993</v>
      </c>
      <c r="C246" s="84" t="s">
        <v>994</v>
      </c>
      <c r="D246" s="83" t="s">
        <v>995</v>
      </c>
      <c r="E246" s="85">
        <v>520</v>
      </c>
      <c r="F246" s="85"/>
      <c r="G246" s="85">
        <v>520</v>
      </c>
      <c r="H246" s="86" t="s">
        <v>996</v>
      </c>
      <c r="I246" s="87">
        <v>-135</v>
      </c>
      <c r="J246" s="85"/>
      <c r="K246" s="85"/>
      <c r="L246" s="85" t="str">
        <f>IF(-0.051*520=0," ",TEXT(,ROUND((-0.051*520*5.092),2)))</f>
        <v>-135,04</v>
      </c>
      <c r="M246" s="85"/>
      <c r="N246" s="85"/>
    </row>
    <row r="247" spans="1:14" ht="57" x14ac:dyDescent="0.25">
      <c r="A247" s="83">
        <v>175</v>
      </c>
      <c r="B247" s="84" t="s">
        <v>997</v>
      </c>
      <c r="C247" s="84" t="s">
        <v>998</v>
      </c>
      <c r="D247" s="83" t="s">
        <v>659</v>
      </c>
      <c r="E247" s="85">
        <v>503.72</v>
      </c>
      <c r="F247" s="85"/>
      <c r="G247" s="85">
        <v>503.72</v>
      </c>
      <c r="H247" s="86" t="s">
        <v>999</v>
      </c>
      <c r="I247" s="87">
        <v>152</v>
      </c>
      <c r="J247" s="85"/>
      <c r="K247" s="85"/>
      <c r="L247" s="85" t="str">
        <f>IF(0.06*503.72=0," ",TEXT(,ROUND((0.06*503.72*5.04),2)))</f>
        <v>152,32</v>
      </c>
      <c r="M247" s="85"/>
      <c r="N247" s="85"/>
    </row>
    <row r="248" spans="1:14" ht="125.4" x14ac:dyDescent="0.25">
      <c r="A248" s="83">
        <v>176</v>
      </c>
      <c r="B248" s="84" t="s">
        <v>1000</v>
      </c>
      <c r="C248" s="84" t="s">
        <v>1001</v>
      </c>
      <c r="D248" s="83" t="s">
        <v>1002</v>
      </c>
      <c r="E248" s="85" t="s">
        <v>1003</v>
      </c>
      <c r="F248" s="85" t="s">
        <v>1004</v>
      </c>
      <c r="G248" s="85">
        <v>1127.07</v>
      </c>
      <c r="H248" s="86" t="s">
        <v>1005</v>
      </c>
      <c r="I248" s="87">
        <v>442</v>
      </c>
      <c r="J248" s="85">
        <v>195</v>
      </c>
      <c r="K248" s="85" t="s">
        <v>1006</v>
      </c>
      <c r="L248" s="85" t="str">
        <f>IF(0.032*1127.07=0," ",TEXT(,ROUND((0.032*1127.07*6.47),2)))</f>
        <v>233,35</v>
      </c>
      <c r="M248" s="85" t="s">
        <v>1007</v>
      </c>
      <c r="N248" s="85" t="s">
        <v>1008</v>
      </c>
    </row>
    <row r="249" spans="1:14" ht="136.80000000000001" x14ac:dyDescent="0.25">
      <c r="A249" s="83">
        <v>177</v>
      </c>
      <c r="B249" s="84" t="s">
        <v>1009</v>
      </c>
      <c r="C249" s="84" t="s">
        <v>1010</v>
      </c>
      <c r="D249" s="83" t="s">
        <v>1011</v>
      </c>
      <c r="E249" s="85" t="s">
        <v>1012</v>
      </c>
      <c r="F249" s="85" t="s">
        <v>1013</v>
      </c>
      <c r="G249" s="85">
        <v>12026.22</v>
      </c>
      <c r="H249" s="86" t="s">
        <v>1014</v>
      </c>
      <c r="I249" s="87">
        <v>2268</v>
      </c>
      <c r="J249" s="85">
        <v>245</v>
      </c>
      <c r="K249" s="85" t="s">
        <v>1015</v>
      </c>
      <c r="L249" s="85" t="str">
        <f>IF(0.03*12026.22=0," ",TEXT(,ROUND((0.03*12026.22*5.34),2)))</f>
        <v>1926,6</v>
      </c>
      <c r="M249" s="85" t="s">
        <v>1016</v>
      </c>
      <c r="N249" s="85" t="s">
        <v>1017</v>
      </c>
    </row>
    <row r="250" spans="1:14" ht="17.850000000000001" customHeight="1" x14ac:dyDescent="0.25">
      <c r="A250" s="126" t="s">
        <v>1018</v>
      </c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</row>
    <row r="251" spans="1:14" ht="148.19999999999999" x14ac:dyDescent="0.25">
      <c r="A251" s="83">
        <v>178</v>
      </c>
      <c r="B251" s="84" t="s">
        <v>1019</v>
      </c>
      <c r="C251" s="84" t="s">
        <v>1020</v>
      </c>
      <c r="D251" s="83" t="s">
        <v>703</v>
      </c>
      <c r="E251" s="85" t="s">
        <v>1021</v>
      </c>
      <c r="F251" s="85" t="s">
        <v>1022</v>
      </c>
      <c r="G251" s="85">
        <v>499.76</v>
      </c>
      <c r="H251" s="86" t="s">
        <v>1023</v>
      </c>
      <c r="I251" s="87">
        <v>15038</v>
      </c>
      <c r="J251" s="85">
        <v>5579</v>
      </c>
      <c r="K251" s="85" t="s">
        <v>1024</v>
      </c>
      <c r="L251" s="85" t="str">
        <f>IF(4*499.76=0," ",TEXT(,ROUND((4*499.76*4.45),2)))</f>
        <v>8895,73</v>
      </c>
      <c r="M251" s="85" t="s">
        <v>1025</v>
      </c>
      <c r="N251" s="85" t="s">
        <v>1026</v>
      </c>
    </row>
    <row r="252" spans="1:14" ht="148.19999999999999" x14ac:dyDescent="0.25">
      <c r="A252" s="83">
        <v>179</v>
      </c>
      <c r="B252" s="84" t="s">
        <v>1027</v>
      </c>
      <c r="C252" s="84" t="s">
        <v>1028</v>
      </c>
      <c r="D252" s="83" t="s">
        <v>703</v>
      </c>
      <c r="E252" s="85" t="s">
        <v>1029</v>
      </c>
      <c r="F252" s="85" t="s">
        <v>1030</v>
      </c>
      <c r="G252" s="85">
        <v>316.92</v>
      </c>
      <c r="H252" s="86" t="s">
        <v>1031</v>
      </c>
      <c r="I252" s="87">
        <v>10541</v>
      </c>
      <c r="J252" s="85">
        <v>4809</v>
      </c>
      <c r="K252" s="85" t="s">
        <v>1032</v>
      </c>
      <c r="L252" s="85" t="str">
        <f>IF(4*316.92=0," ",TEXT(,ROUND((4*316.92*4.28),2)))</f>
        <v>5425,67</v>
      </c>
      <c r="M252" s="85" t="s">
        <v>1033</v>
      </c>
      <c r="N252" s="85" t="s">
        <v>1034</v>
      </c>
    </row>
    <row r="253" spans="1:14" ht="148.19999999999999" x14ac:dyDescent="0.25">
      <c r="A253" s="88">
        <v>180</v>
      </c>
      <c r="B253" s="89" t="s">
        <v>1035</v>
      </c>
      <c r="C253" s="89" t="s">
        <v>1036</v>
      </c>
      <c r="D253" s="88" t="s">
        <v>631</v>
      </c>
      <c r="E253" s="90" t="s">
        <v>1037</v>
      </c>
      <c r="F253" s="90">
        <v>6.18</v>
      </c>
      <c r="G253" s="90">
        <v>48.31</v>
      </c>
      <c r="H253" s="91" t="s">
        <v>1038</v>
      </c>
      <c r="I253" s="92">
        <v>2348</v>
      </c>
      <c r="J253" s="90">
        <v>1720</v>
      </c>
      <c r="K253" s="90">
        <v>105</v>
      </c>
      <c r="L253" s="90" t="str">
        <f>IF(2*48.31=0," ",TEXT(,ROUND((2*48.31*5.42),2)))</f>
        <v>523,68</v>
      </c>
      <c r="M253" s="90">
        <v>5.13</v>
      </c>
      <c r="N253" s="90">
        <v>10.26</v>
      </c>
    </row>
    <row r="254" spans="1:14" ht="22.8" x14ac:dyDescent="0.25">
      <c r="A254" s="125" t="s">
        <v>575</v>
      </c>
      <c r="B254" s="122"/>
      <c r="C254" s="122"/>
      <c r="D254" s="122"/>
      <c r="E254" s="122"/>
      <c r="F254" s="122"/>
      <c r="G254" s="122"/>
      <c r="H254" s="122"/>
      <c r="I254" s="87">
        <v>1816763</v>
      </c>
      <c r="J254" s="85">
        <v>80877</v>
      </c>
      <c r="K254" s="85" t="s">
        <v>1039</v>
      </c>
      <c r="L254" s="85">
        <v>1110560</v>
      </c>
      <c r="M254" s="85"/>
      <c r="N254" s="85" t="s">
        <v>1040</v>
      </c>
    </row>
    <row r="255" spans="1:14" x14ac:dyDescent="0.25">
      <c r="A255" s="125" t="s">
        <v>578</v>
      </c>
      <c r="B255" s="122"/>
      <c r="C255" s="122"/>
      <c r="D255" s="122"/>
      <c r="E255" s="122"/>
      <c r="F255" s="122"/>
      <c r="G255" s="122"/>
      <c r="H255" s="122"/>
      <c r="I255" s="87">
        <v>72155</v>
      </c>
      <c r="J255" s="85"/>
      <c r="K255" s="85"/>
      <c r="L255" s="85"/>
      <c r="M255" s="85"/>
      <c r="N255" s="85"/>
    </row>
    <row r="256" spans="1:14" x14ac:dyDescent="0.25">
      <c r="A256" s="125" t="s">
        <v>579</v>
      </c>
      <c r="B256" s="122"/>
      <c r="C256" s="122"/>
      <c r="D256" s="122"/>
      <c r="E256" s="122"/>
      <c r="F256" s="122"/>
      <c r="G256" s="122"/>
      <c r="H256" s="122"/>
      <c r="I256" s="87"/>
      <c r="J256" s="85"/>
      <c r="K256" s="85"/>
      <c r="L256" s="85"/>
      <c r="M256" s="85"/>
      <c r="N256" s="85"/>
    </row>
    <row r="257" spans="1:14" x14ac:dyDescent="0.25">
      <c r="A257" s="125" t="s">
        <v>1041</v>
      </c>
      <c r="B257" s="122"/>
      <c r="C257" s="122"/>
      <c r="D257" s="122"/>
      <c r="E257" s="122"/>
      <c r="F257" s="122"/>
      <c r="G257" s="122"/>
      <c r="H257" s="122"/>
      <c r="I257" s="87">
        <v>4434</v>
      </c>
      <c r="J257" s="85"/>
      <c r="K257" s="85"/>
      <c r="L257" s="85"/>
      <c r="M257" s="85"/>
      <c r="N257" s="85"/>
    </row>
    <row r="258" spans="1:14" x14ac:dyDescent="0.25">
      <c r="A258" s="125" t="s">
        <v>1042</v>
      </c>
      <c r="B258" s="122"/>
      <c r="C258" s="122"/>
      <c r="D258" s="122"/>
      <c r="E258" s="122"/>
      <c r="F258" s="122"/>
      <c r="G258" s="122"/>
      <c r="H258" s="122"/>
      <c r="I258" s="87">
        <v>7212</v>
      </c>
      <c r="J258" s="85"/>
      <c r="K258" s="85"/>
      <c r="L258" s="85"/>
      <c r="M258" s="85"/>
      <c r="N258" s="85"/>
    </row>
    <row r="259" spans="1:14" x14ac:dyDescent="0.25">
      <c r="A259" s="125" t="s">
        <v>1043</v>
      </c>
      <c r="B259" s="122"/>
      <c r="C259" s="122"/>
      <c r="D259" s="122"/>
      <c r="E259" s="122"/>
      <c r="F259" s="122"/>
      <c r="G259" s="122"/>
      <c r="H259" s="122"/>
      <c r="I259" s="87">
        <v>222</v>
      </c>
      <c r="J259" s="85"/>
      <c r="K259" s="85"/>
      <c r="L259" s="85"/>
      <c r="M259" s="85"/>
      <c r="N259" s="85"/>
    </row>
    <row r="260" spans="1:14" x14ac:dyDescent="0.25">
      <c r="A260" s="125" t="s">
        <v>1044</v>
      </c>
      <c r="B260" s="122"/>
      <c r="C260" s="122"/>
      <c r="D260" s="122"/>
      <c r="E260" s="122"/>
      <c r="F260" s="122"/>
      <c r="G260" s="122"/>
      <c r="H260" s="122"/>
      <c r="I260" s="87">
        <v>5062</v>
      </c>
      <c r="J260" s="85"/>
      <c r="K260" s="85"/>
      <c r="L260" s="85"/>
      <c r="M260" s="85"/>
      <c r="N260" s="85"/>
    </row>
    <row r="261" spans="1:14" x14ac:dyDescent="0.25">
      <c r="A261" s="125" t="s">
        <v>1045</v>
      </c>
      <c r="B261" s="122"/>
      <c r="C261" s="122"/>
      <c r="D261" s="122"/>
      <c r="E261" s="122"/>
      <c r="F261" s="122"/>
      <c r="G261" s="122"/>
      <c r="H261" s="122"/>
      <c r="I261" s="87">
        <v>3304</v>
      </c>
      <c r="J261" s="85"/>
      <c r="K261" s="85"/>
      <c r="L261" s="85"/>
      <c r="M261" s="85"/>
      <c r="N261" s="85"/>
    </row>
    <row r="262" spans="1:14" x14ac:dyDescent="0.25">
      <c r="A262" s="125" t="s">
        <v>1046</v>
      </c>
      <c r="B262" s="122"/>
      <c r="C262" s="122"/>
      <c r="D262" s="122"/>
      <c r="E262" s="122"/>
      <c r="F262" s="122"/>
      <c r="G262" s="122"/>
      <c r="H262" s="122"/>
      <c r="I262" s="87">
        <v>14</v>
      </c>
      <c r="J262" s="85"/>
      <c r="K262" s="85"/>
      <c r="L262" s="85"/>
      <c r="M262" s="85"/>
      <c r="N262" s="85"/>
    </row>
    <row r="263" spans="1:14" x14ac:dyDescent="0.25">
      <c r="A263" s="125" t="s">
        <v>1047</v>
      </c>
      <c r="B263" s="122"/>
      <c r="C263" s="122"/>
      <c r="D263" s="122"/>
      <c r="E263" s="122"/>
      <c r="F263" s="122"/>
      <c r="G263" s="122"/>
      <c r="H263" s="122"/>
      <c r="I263" s="87">
        <v>697</v>
      </c>
      <c r="J263" s="85"/>
      <c r="K263" s="85"/>
      <c r="L263" s="85"/>
      <c r="M263" s="85"/>
      <c r="N263" s="85"/>
    </row>
    <row r="264" spans="1:14" x14ac:dyDescent="0.25">
      <c r="A264" s="125" t="s">
        <v>1048</v>
      </c>
      <c r="B264" s="122"/>
      <c r="C264" s="122"/>
      <c r="D264" s="122"/>
      <c r="E264" s="122"/>
      <c r="F264" s="122"/>
      <c r="G264" s="122"/>
      <c r="H264" s="122"/>
      <c r="I264" s="87">
        <v>195</v>
      </c>
      <c r="J264" s="85"/>
      <c r="K264" s="85"/>
      <c r="L264" s="85"/>
      <c r="M264" s="85"/>
      <c r="N264" s="85"/>
    </row>
    <row r="265" spans="1:14" x14ac:dyDescent="0.25">
      <c r="A265" s="125" t="s">
        <v>1049</v>
      </c>
      <c r="B265" s="122"/>
      <c r="C265" s="122"/>
      <c r="D265" s="122"/>
      <c r="E265" s="122"/>
      <c r="F265" s="122"/>
      <c r="G265" s="122"/>
      <c r="H265" s="122"/>
      <c r="I265" s="87">
        <v>51015</v>
      </c>
      <c r="J265" s="85"/>
      <c r="K265" s="85"/>
      <c r="L265" s="85"/>
      <c r="M265" s="85"/>
      <c r="N265" s="85"/>
    </row>
    <row r="266" spans="1:14" x14ac:dyDescent="0.25">
      <c r="A266" s="125" t="s">
        <v>588</v>
      </c>
      <c r="B266" s="122"/>
      <c r="C266" s="122"/>
      <c r="D266" s="122"/>
      <c r="E266" s="122"/>
      <c r="F266" s="122"/>
      <c r="G266" s="122"/>
      <c r="H266" s="122"/>
      <c r="I266" s="87">
        <v>43051</v>
      </c>
      <c r="J266" s="85"/>
      <c r="K266" s="85"/>
      <c r="L266" s="85"/>
      <c r="M266" s="85"/>
      <c r="N266" s="85"/>
    </row>
    <row r="267" spans="1:14" x14ac:dyDescent="0.25">
      <c r="A267" s="125" t="s">
        <v>579</v>
      </c>
      <c r="B267" s="122"/>
      <c r="C267" s="122"/>
      <c r="D267" s="122"/>
      <c r="E267" s="122"/>
      <c r="F267" s="122"/>
      <c r="G267" s="122"/>
      <c r="H267" s="122"/>
      <c r="I267" s="87"/>
      <c r="J267" s="85"/>
      <c r="K267" s="85"/>
      <c r="L267" s="85"/>
      <c r="M267" s="85"/>
      <c r="N267" s="85"/>
    </row>
    <row r="268" spans="1:14" x14ac:dyDescent="0.25">
      <c r="A268" s="125" t="s">
        <v>1050</v>
      </c>
      <c r="B268" s="122"/>
      <c r="C268" s="122"/>
      <c r="D268" s="122"/>
      <c r="E268" s="122"/>
      <c r="F268" s="122"/>
      <c r="G268" s="122"/>
      <c r="H268" s="122"/>
      <c r="I268" s="87">
        <v>2815</v>
      </c>
      <c r="J268" s="85"/>
      <c r="K268" s="85"/>
      <c r="L268" s="85"/>
      <c r="M268" s="85"/>
      <c r="N268" s="85"/>
    </row>
    <row r="269" spans="1:14" x14ac:dyDescent="0.25">
      <c r="A269" s="125" t="s">
        <v>1051</v>
      </c>
      <c r="B269" s="122"/>
      <c r="C269" s="122"/>
      <c r="D269" s="122"/>
      <c r="E269" s="122"/>
      <c r="F269" s="122"/>
      <c r="G269" s="122"/>
      <c r="H269" s="122"/>
      <c r="I269" s="87">
        <v>4987</v>
      </c>
      <c r="J269" s="85"/>
      <c r="K269" s="85"/>
      <c r="L269" s="85"/>
      <c r="M269" s="85"/>
      <c r="N269" s="85"/>
    </row>
    <row r="270" spans="1:14" x14ac:dyDescent="0.25">
      <c r="A270" s="125" t="s">
        <v>1052</v>
      </c>
      <c r="B270" s="122"/>
      <c r="C270" s="122"/>
      <c r="D270" s="122"/>
      <c r="E270" s="122"/>
      <c r="F270" s="122"/>
      <c r="G270" s="122"/>
      <c r="H270" s="122"/>
      <c r="I270" s="87">
        <v>7</v>
      </c>
      <c r="J270" s="85"/>
      <c r="K270" s="85"/>
      <c r="L270" s="85"/>
      <c r="M270" s="85"/>
      <c r="N270" s="85"/>
    </row>
    <row r="271" spans="1:14" x14ac:dyDescent="0.25">
      <c r="A271" s="125" t="s">
        <v>1053</v>
      </c>
      <c r="B271" s="122"/>
      <c r="C271" s="122"/>
      <c r="D271" s="122"/>
      <c r="E271" s="122"/>
      <c r="F271" s="122"/>
      <c r="G271" s="122"/>
      <c r="H271" s="122"/>
      <c r="I271" s="87">
        <v>3249</v>
      </c>
      <c r="J271" s="85"/>
      <c r="K271" s="85"/>
      <c r="L271" s="85"/>
      <c r="M271" s="85"/>
      <c r="N271" s="85"/>
    </row>
    <row r="272" spans="1:14" x14ac:dyDescent="0.25">
      <c r="A272" s="125" t="s">
        <v>1054</v>
      </c>
      <c r="B272" s="122"/>
      <c r="C272" s="122"/>
      <c r="D272" s="122"/>
      <c r="E272" s="122"/>
      <c r="F272" s="122"/>
      <c r="G272" s="122"/>
      <c r="H272" s="122"/>
      <c r="I272" s="87">
        <v>117</v>
      </c>
      <c r="J272" s="85"/>
      <c r="K272" s="85"/>
      <c r="L272" s="85"/>
      <c r="M272" s="85"/>
      <c r="N272" s="85"/>
    </row>
    <row r="273" spans="1:14" x14ac:dyDescent="0.25">
      <c r="A273" s="125" t="s">
        <v>1055</v>
      </c>
      <c r="B273" s="122"/>
      <c r="C273" s="122"/>
      <c r="D273" s="122"/>
      <c r="E273" s="122"/>
      <c r="F273" s="122"/>
      <c r="G273" s="122"/>
      <c r="H273" s="122"/>
      <c r="I273" s="87">
        <v>2215</v>
      </c>
      <c r="J273" s="85"/>
      <c r="K273" s="85"/>
      <c r="L273" s="85"/>
      <c r="M273" s="85"/>
      <c r="N273" s="85"/>
    </row>
    <row r="274" spans="1:14" x14ac:dyDescent="0.25">
      <c r="A274" s="125" t="s">
        <v>1056</v>
      </c>
      <c r="B274" s="122"/>
      <c r="C274" s="122"/>
      <c r="D274" s="122"/>
      <c r="E274" s="122"/>
      <c r="F274" s="122"/>
      <c r="G274" s="122"/>
      <c r="H274" s="122"/>
      <c r="I274" s="87">
        <v>106</v>
      </c>
      <c r="J274" s="85"/>
      <c r="K274" s="85"/>
      <c r="L274" s="85"/>
      <c r="M274" s="85"/>
      <c r="N274" s="85"/>
    </row>
    <row r="275" spans="1:14" x14ac:dyDescent="0.25">
      <c r="A275" s="125" t="s">
        <v>1057</v>
      </c>
      <c r="B275" s="122"/>
      <c r="C275" s="122"/>
      <c r="D275" s="122"/>
      <c r="E275" s="122"/>
      <c r="F275" s="122"/>
      <c r="G275" s="122"/>
      <c r="H275" s="122"/>
      <c r="I275" s="87">
        <v>404</v>
      </c>
      <c r="J275" s="85"/>
      <c r="K275" s="85"/>
      <c r="L275" s="85"/>
      <c r="M275" s="85"/>
      <c r="N275" s="85"/>
    </row>
    <row r="276" spans="1:14" x14ac:dyDescent="0.25">
      <c r="A276" s="125" t="s">
        <v>1058</v>
      </c>
      <c r="B276" s="122"/>
      <c r="C276" s="122"/>
      <c r="D276" s="122"/>
      <c r="E276" s="122"/>
      <c r="F276" s="122"/>
      <c r="G276" s="122"/>
      <c r="H276" s="122"/>
      <c r="I276" s="87">
        <v>29151</v>
      </c>
      <c r="J276" s="85"/>
      <c r="K276" s="85"/>
      <c r="L276" s="85"/>
      <c r="M276" s="85"/>
      <c r="N276" s="85"/>
    </row>
    <row r="277" spans="1:14" x14ac:dyDescent="0.25">
      <c r="A277" s="129" t="s">
        <v>1059</v>
      </c>
      <c r="B277" s="124"/>
      <c r="C277" s="124"/>
      <c r="D277" s="124"/>
      <c r="E277" s="124"/>
      <c r="F277" s="124"/>
      <c r="G277" s="124"/>
      <c r="H277" s="124"/>
      <c r="I277" s="87"/>
      <c r="J277" s="85"/>
      <c r="K277" s="85"/>
      <c r="L277" s="85"/>
      <c r="M277" s="85"/>
      <c r="N277" s="85"/>
    </row>
    <row r="278" spans="1:14" ht="22.8" x14ac:dyDescent="0.25">
      <c r="A278" s="125" t="s">
        <v>1060</v>
      </c>
      <c r="B278" s="122"/>
      <c r="C278" s="122"/>
      <c r="D278" s="122"/>
      <c r="E278" s="122"/>
      <c r="F278" s="122"/>
      <c r="G278" s="122"/>
      <c r="H278" s="122"/>
      <c r="I278" s="87">
        <v>1271559</v>
      </c>
      <c r="J278" s="85"/>
      <c r="K278" s="85"/>
      <c r="L278" s="85"/>
      <c r="M278" s="85"/>
      <c r="N278" s="85" t="s">
        <v>1061</v>
      </c>
    </row>
    <row r="279" spans="1:14" ht="22.8" x14ac:dyDescent="0.25">
      <c r="A279" s="125" t="s">
        <v>1062</v>
      </c>
      <c r="B279" s="122"/>
      <c r="C279" s="122"/>
      <c r="D279" s="122"/>
      <c r="E279" s="122"/>
      <c r="F279" s="122"/>
      <c r="G279" s="122"/>
      <c r="H279" s="122"/>
      <c r="I279" s="87">
        <v>46855</v>
      </c>
      <c r="J279" s="85"/>
      <c r="K279" s="85"/>
      <c r="L279" s="85"/>
      <c r="M279" s="85"/>
      <c r="N279" s="85" t="s">
        <v>1063</v>
      </c>
    </row>
    <row r="280" spans="1:14" x14ac:dyDescent="0.25">
      <c r="A280" s="125" t="s">
        <v>1064</v>
      </c>
      <c r="B280" s="122"/>
      <c r="C280" s="122"/>
      <c r="D280" s="122"/>
      <c r="E280" s="122"/>
      <c r="F280" s="122"/>
      <c r="G280" s="122"/>
      <c r="H280" s="122"/>
      <c r="I280" s="87">
        <v>613555</v>
      </c>
      <c r="J280" s="85"/>
      <c r="K280" s="85"/>
      <c r="L280" s="85"/>
      <c r="M280" s="85"/>
      <c r="N280" s="85"/>
    </row>
    <row r="281" spans="1:14" ht="22.8" x14ac:dyDescent="0.25">
      <c r="A281" s="125" t="s">
        <v>608</v>
      </c>
      <c r="B281" s="122"/>
      <c r="C281" s="122"/>
      <c r="D281" s="122"/>
      <c r="E281" s="122"/>
      <c r="F281" s="122"/>
      <c r="G281" s="122"/>
      <c r="H281" s="122"/>
      <c r="I281" s="87">
        <v>1931969</v>
      </c>
      <c r="J281" s="85"/>
      <c r="K281" s="85"/>
      <c r="L281" s="85"/>
      <c r="M281" s="85"/>
      <c r="N281" s="85" t="s">
        <v>1040</v>
      </c>
    </row>
    <row r="282" spans="1:14" x14ac:dyDescent="0.25">
      <c r="A282" s="125" t="s">
        <v>609</v>
      </c>
      <c r="B282" s="122"/>
      <c r="C282" s="122"/>
      <c r="D282" s="122"/>
      <c r="E282" s="122"/>
      <c r="F282" s="122"/>
      <c r="G282" s="122"/>
      <c r="H282" s="122"/>
      <c r="I282" s="87"/>
      <c r="J282" s="85"/>
      <c r="K282" s="85"/>
      <c r="L282" s="85"/>
      <c r="M282" s="85"/>
      <c r="N282" s="85"/>
    </row>
    <row r="283" spans="1:14" x14ac:dyDescent="0.25">
      <c r="A283" s="125" t="s">
        <v>610</v>
      </c>
      <c r="B283" s="122"/>
      <c r="C283" s="122"/>
      <c r="D283" s="122"/>
      <c r="E283" s="122"/>
      <c r="F283" s="122"/>
      <c r="G283" s="122"/>
      <c r="H283" s="122"/>
      <c r="I283" s="87">
        <v>1110560</v>
      </c>
      <c r="J283" s="85"/>
      <c r="K283" s="85"/>
      <c r="L283" s="85"/>
      <c r="M283" s="85"/>
      <c r="N283" s="85"/>
    </row>
    <row r="284" spans="1:14" x14ac:dyDescent="0.25">
      <c r="A284" s="125" t="s">
        <v>611</v>
      </c>
      <c r="B284" s="122"/>
      <c r="C284" s="122"/>
      <c r="D284" s="122"/>
      <c r="E284" s="122"/>
      <c r="F284" s="122"/>
      <c r="G284" s="122"/>
      <c r="H284" s="122"/>
      <c r="I284" s="87">
        <v>11771</v>
      </c>
      <c r="J284" s="85"/>
      <c r="K284" s="85"/>
      <c r="L284" s="85"/>
      <c r="M284" s="85"/>
      <c r="N284" s="85"/>
    </row>
    <row r="285" spans="1:14" x14ac:dyDescent="0.25">
      <c r="A285" s="125" t="s">
        <v>612</v>
      </c>
      <c r="B285" s="122"/>
      <c r="C285" s="122"/>
      <c r="D285" s="122"/>
      <c r="E285" s="122"/>
      <c r="F285" s="122"/>
      <c r="G285" s="122"/>
      <c r="H285" s="122"/>
      <c r="I285" s="87">
        <v>81534</v>
      </c>
      <c r="J285" s="85"/>
      <c r="K285" s="85"/>
      <c r="L285" s="85"/>
      <c r="M285" s="85"/>
      <c r="N285" s="85"/>
    </row>
    <row r="286" spans="1:14" x14ac:dyDescent="0.25">
      <c r="A286" s="125" t="s">
        <v>1065</v>
      </c>
      <c r="B286" s="122"/>
      <c r="C286" s="122"/>
      <c r="D286" s="122"/>
      <c r="E286" s="122"/>
      <c r="F286" s="122"/>
      <c r="G286" s="122"/>
      <c r="H286" s="122"/>
      <c r="I286" s="87">
        <v>613555</v>
      </c>
      <c r="J286" s="85"/>
      <c r="K286" s="85"/>
      <c r="L286" s="85"/>
      <c r="M286" s="85"/>
      <c r="N286" s="85"/>
    </row>
    <row r="287" spans="1:14" x14ac:dyDescent="0.25">
      <c r="A287" s="125" t="s">
        <v>613</v>
      </c>
      <c r="B287" s="122"/>
      <c r="C287" s="122"/>
      <c r="D287" s="122"/>
      <c r="E287" s="122"/>
      <c r="F287" s="122"/>
      <c r="G287" s="122"/>
      <c r="H287" s="122"/>
      <c r="I287" s="87">
        <v>72155</v>
      </c>
      <c r="J287" s="85"/>
      <c r="K287" s="85"/>
      <c r="L287" s="85"/>
      <c r="M287" s="85"/>
      <c r="N287" s="85"/>
    </row>
    <row r="288" spans="1:14" x14ac:dyDescent="0.25">
      <c r="A288" s="125" t="s">
        <v>614</v>
      </c>
      <c r="B288" s="122"/>
      <c r="C288" s="122"/>
      <c r="D288" s="122"/>
      <c r="E288" s="122"/>
      <c r="F288" s="122"/>
      <c r="G288" s="122"/>
      <c r="H288" s="122"/>
      <c r="I288" s="87">
        <v>43051</v>
      </c>
      <c r="J288" s="85"/>
      <c r="K288" s="85"/>
      <c r="L288" s="85"/>
      <c r="M288" s="85"/>
      <c r="N288" s="85"/>
    </row>
    <row r="289" spans="1:14" ht="22.8" x14ac:dyDescent="0.25">
      <c r="A289" s="127" t="s">
        <v>1066</v>
      </c>
      <c r="B289" s="128"/>
      <c r="C289" s="128"/>
      <c r="D289" s="128"/>
      <c r="E289" s="128"/>
      <c r="F289" s="128"/>
      <c r="G289" s="128"/>
      <c r="H289" s="128"/>
      <c r="I289" s="92">
        <v>1931969</v>
      </c>
      <c r="J289" s="90"/>
      <c r="K289" s="90"/>
      <c r="L289" s="90"/>
      <c r="M289" s="90"/>
      <c r="N289" s="90" t="s">
        <v>1040</v>
      </c>
    </row>
    <row r="290" spans="1:14" ht="17.850000000000001" customHeight="1" x14ac:dyDescent="0.25">
      <c r="A290" s="130" t="s">
        <v>1067</v>
      </c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</row>
    <row r="291" spans="1:14" ht="79.8" x14ac:dyDescent="0.25">
      <c r="A291" s="83">
        <v>181</v>
      </c>
      <c r="B291" s="84" t="s">
        <v>1068</v>
      </c>
      <c r="C291" s="84" t="s">
        <v>1069</v>
      </c>
      <c r="D291" s="83">
        <v>0.28460000000000002</v>
      </c>
      <c r="E291" s="85" t="s">
        <v>1070</v>
      </c>
      <c r="F291" s="85"/>
      <c r="G291" s="85"/>
      <c r="H291" s="86" t="s">
        <v>1071</v>
      </c>
      <c r="I291" s="87">
        <v>136</v>
      </c>
      <c r="J291" s="85">
        <v>136</v>
      </c>
      <c r="K291" s="85"/>
      <c r="L291" s="85" t="str">
        <f>IF(0.2846*0=0," ",TEXT(,ROUND((0.2846*0*1),2)))</f>
        <v xml:space="preserve"> </v>
      </c>
      <c r="M291" s="85"/>
      <c r="N291" s="85"/>
    </row>
    <row r="292" spans="1:14" ht="102.6" x14ac:dyDescent="0.25">
      <c r="A292" s="83">
        <v>182</v>
      </c>
      <c r="B292" s="84" t="s">
        <v>1072</v>
      </c>
      <c r="C292" s="84" t="s">
        <v>1073</v>
      </c>
      <c r="D292" s="83">
        <v>0.28460000000000002</v>
      </c>
      <c r="E292" s="85">
        <v>11.42</v>
      </c>
      <c r="F292" s="85">
        <v>11.42</v>
      </c>
      <c r="G292" s="85"/>
      <c r="H292" s="86" t="s">
        <v>1074</v>
      </c>
      <c r="I292" s="87">
        <v>32</v>
      </c>
      <c r="J292" s="85"/>
      <c r="K292" s="85">
        <v>32</v>
      </c>
      <c r="L292" s="85" t="str">
        <f>IF(0.2846*0=0," ",TEXT(,ROUND((0.2846*0*1),2)))</f>
        <v xml:space="preserve"> </v>
      </c>
      <c r="M292" s="85"/>
      <c r="N292" s="85"/>
    </row>
    <row r="293" spans="1:14" ht="91.2" x14ac:dyDescent="0.25">
      <c r="A293" s="83">
        <v>183</v>
      </c>
      <c r="B293" s="84" t="s">
        <v>1075</v>
      </c>
      <c r="C293" s="84" t="s">
        <v>1076</v>
      </c>
      <c r="D293" s="83">
        <v>30.353999999999999</v>
      </c>
      <c r="E293" s="85">
        <v>8.36</v>
      </c>
      <c r="F293" s="85">
        <v>8.36</v>
      </c>
      <c r="G293" s="85"/>
      <c r="H293" s="86" t="s">
        <v>1077</v>
      </c>
      <c r="I293" s="87">
        <v>3550</v>
      </c>
      <c r="J293" s="85"/>
      <c r="K293" s="85">
        <v>3550</v>
      </c>
      <c r="L293" s="85" t="str">
        <f>IF(30.354*0=0," ",TEXT(,ROUND((30.354*0*1),2)))</f>
        <v xml:space="preserve"> </v>
      </c>
      <c r="M293" s="85"/>
      <c r="N293" s="85"/>
    </row>
    <row r="294" spans="1:14" ht="102.6" x14ac:dyDescent="0.25">
      <c r="A294" s="88">
        <v>184</v>
      </c>
      <c r="B294" s="89" t="s">
        <v>1078</v>
      </c>
      <c r="C294" s="89" t="s">
        <v>1079</v>
      </c>
      <c r="D294" s="88">
        <v>30.353999999999999</v>
      </c>
      <c r="E294" s="90">
        <v>8.58</v>
      </c>
      <c r="F294" s="90">
        <v>8.58</v>
      </c>
      <c r="G294" s="90"/>
      <c r="H294" s="91" t="s">
        <v>1080</v>
      </c>
      <c r="I294" s="92">
        <v>2563</v>
      </c>
      <c r="J294" s="90"/>
      <c r="K294" s="90">
        <v>2563</v>
      </c>
      <c r="L294" s="90" t="str">
        <f>IF(30.354*0=0," ",TEXT(,ROUND((30.354*0*1),2)))</f>
        <v xml:space="preserve"> </v>
      </c>
      <c r="M294" s="90"/>
      <c r="N294" s="90"/>
    </row>
    <row r="295" spans="1:14" x14ac:dyDescent="0.25">
      <c r="A295" s="125" t="s">
        <v>575</v>
      </c>
      <c r="B295" s="122"/>
      <c r="C295" s="122"/>
      <c r="D295" s="122"/>
      <c r="E295" s="122"/>
      <c r="F295" s="122"/>
      <c r="G295" s="122"/>
      <c r="H295" s="122"/>
      <c r="I295" s="87">
        <v>6281</v>
      </c>
      <c r="J295" s="85">
        <v>136</v>
      </c>
      <c r="K295" s="85">
        <v>6145</v>
      </c>
      <c r="L295" s="85"/>
      <c r="M295" s="85"/>
      <c r="N295" s="85"/>
    </row>
    <row r="296" spans="1:14" x14ac:dyDescent="0.25">
      <c r="A296" s="125" t="s">
        <v>578</v>
      </c>
      <c r="B296" s="122"/>
      <c r="C296" s="122"/>
      <c r="D296" s="122"/>
      <c r="E296" s="122"/>
      <c r="F296" s="122"/>
      <c r="G296" s="122"/>
      <c r="H296" s="122"/>
      <c r="I296" s="87">
        <v>136</v>
      </c>
      <c r="J296" s="85"/>
      <c r="K296" s="85"/>
      <c r="L296" s="85"/>
      <c r="M296" s="85"/>
      <c r="N296" s="85"/>
    </row>
    <row r="297" spans="1:14" x14ac:dyDescent="0.25">
      <c r="A297" s="125" t="s">
        <v>579</v>
      </c>
      <c r="B297" s="122"/>
      <c r="C297" s="122"/>
      <c r="D297" s="122"/>
      <c r="E297" s="122"/>
      <c r="F297" s="122"/>
      <c r="G297" s="122"/>
      <c r="H297" s="122"/>
      <c r="I297" s="87"/>
      <c r="J297" s="85"/>
      <c r="K297" s="85"/>
      <c r="L297" s="85"/>
      <c r="M297" s="85"/>
      <c r="N297" s="85"/>
    </row>
    <row r="298" spans="1:14" x14ac:dyDescent="0.25">
      <c r="A298" s="125" t="s">
        <v>1081</v>
      </c>
      <c r="B298" s="122"/>
      <c r="C298" s="122"/>
      <c r="D298" s="122"/>
      <c r="E298" s="122"/>
      <c r="F298" s="122"/>
      <c r="G298" s="122"/>
      <c r="H298" s="122"/>
      <c r="I298" s="87">
        <v>136</v>
      </c>
      <c r="J298" s="85"/>
      <c r="K298" s="85"/>
      <c r="L298" s="85"/>
      <c r="M298" s="85"/>
      <c r="N298" s="85"/>
    </row>
    <row r="299" spans="1:14" x14ac:dyDescent="0.25">
      <c r="A299" s="125" t="s">
        <v>588</v>
      </c>
      <c r="B299" s="122"/>
      <c r="C299" s="122"/>
      <c r="D299" s="122"/>
      <c r="E299" s="122"/>
      <c r="F299" s="122"/>
      <c r="G299" s="122"/>
      <c r="H299" s="122"/>
      <c r="I299" s="87">
        <v>82</v>
      </c>
      <c r="J299" s="85"/>
      <c r="K299" s="85"/>
      <c r="L299" s="85"/>
      <c r="M299" s="85"/>
      <c r="N299" s="85"/>
    </row>
    <row r="300" spans="1:14" x14ac:dyDescent="0.25">
      <c r="A300" s="125" t="s">
        <v>579</v>
      </c>
      <c r="B300" s="122"/>
      <c r="C300" s="122"/>
      <c r="D300" s="122"/>
      <c r="E300" s="122"/>
      <c r="F300" s="122"/>
      <c r="G300" s="122"/>
      <c r="H300" s="122"/>
      <c r="I300" s="87"/>
      <c r="J300" s="85"/>
      <c r="K300" s="85"/>
      <c r="L300" s="85"/>
      <c r="M300" s="85"/>
      <c r="N300" s="85"/>
    </row>
    <row r="301" spans="1:14" x14ac:dyDescent="0.25">
      <c r="A301" s="125" t="s">
        <v>1082</v>
      </c>
      <c r="B301" s="122"/>
      <c r="C301" s="122"/>
      <c r="D301" s="122"/>
      <c r="E301" s="122"/>
      <c r="F301" s="122"/>
      <c r="G301" s="122"/>
      <c r="H301" s="122"/>
      <c r="I301" s="87">
        <v>82</v>
      </c>
      <c r="J301" s="85"/>
      <c r="K301" s="85"/>
      <c r="L301" s="85"/>
      <c r="M301" s="85"/>
      <c r="N301" s="85"/>
    </row>
    <row r="302" spans="1:14" x14ac:dyDescent="0.25">
      <c r="A302" s="129" t="s">
        <v>1083</v>
      </c>
      <c r="B302" s="124"/>
      <c r="C302" s="124"/>
      <c r="D302" s="124"/>
      <c r="E302" s="124"/>
      <c r="F302" s="124"/>
      <c r="G302" s="124"/>
      <c r="H302" s="124"/>
      <c r="I302" s="87"/>
      <c r="J302" s="85"/>
      <c r="K302" s="85"/>
      <c r="L302" s="85"/>
      <c r="M302" s="85"/>
      <c r="N302" s="85"/>
    </row>
    <row r="303" spans="1:14" x14ac:dyDescent="0.25">
      <c r="A303" s="125" t="s">
        <v>1084</v>
      </c>
      <c r="B303" s="122"/>
      <c r="C303" s="122"/>
      <c r="D303" s="122"/>
      <c r="E303" s="122"/>
      <c r="F303" s="122"/>
      <c r="G303" s="122"/>
      <c r="H303" s="122"/>
      <c r="I303" s="87">
        <v>3904</v>
      </c>
      <c r="J303" s="85"/>
      <c r="K303" s="85"/>
      <c r="L303" s="85"/>
      <c r="M303" s="85"/>
      <c r="N303" s="85"/>
    </row>
    <row r="304" spans="1:14" x14ac:dyDescent="0.25">
      <c r="A304" s="125" t="s">
        <v>1085</v>
      </c>
      <c r="B304" s="122"/>
      <c r="C304" s="122"/>
      <c r="D304" s="122"/>
      <c r="E304" s="122"/>
      <c r="F304" s="122"/>
      <c r="G304" s="122"/>
      <c r="H304" s="122"/>
      <c r="I304" s="87">
        <v>2595</v>
      </c>
      <c r="J304" s="85"/>
      <c r="K304" s="85"/>
      <c r="L304" s="85"/>
      <c r="M304" s="85"/>
      <c r="N304" s="85"/>
    </row>
    <row r="305" spans="1:14" x14ac:dyDescent="0.25">
      <c r="A305" s="125" t="s">
        <v>608</v>
      </c>
      <c r="B305" s="122"/>
      <c r="C305" s="122"/>
      <c r="D305" s="122"/>
      <c r="E305" s="122"/>
      <c r="F305" s="122"/>
      <c r="G305" s="122"/>
      <c r="H305" s="122"/>
      <c r="I305" s="87">
        <v>6499</v>
      </c>
      <c r="J305" s="85"/>
      <c r="K305" s="85"/>
      <c r="L305" s="85"/>
      <c r="M305" s="85"/>
      <c r="N305" s="85"/>
    </row>
    <row r="306" spans="1:14" x14ac:dyDescent="0.25">
      <c r="A306" s="125" t="s">
        <v>609</v>
      </c>
      <c r="B306" s="122"/>
      <c r="C306" s="122"/>
      <c r="D306" s="122"/>
      <c r="E306" s="122"/>
      <c r="F306" s="122"/>
      <c r="G306" s="122"/>
      <c r="H306" s="122"/>
      <c r="I306" s="87"/>
      <c r="J306" s="85"/>
      <c r="K306" s="85"/>
      <c r="L306" s="85"/>
      <c r="M306" s="85"/>
      <c r="N306" s="85"/>
    </row>
    <row r="307" spans="1:14" x14ac:dyDescent="0.25">
      <c r="A307" s="125" t="s">
        <v>611</v>
      </c>
      <c r="B307" s="122"/>
      <c r="C307" s="122"/>
      <c r="D307" s="122"/>
      <c r="E307" s="122"/>
      <c r="F307" s="122"/>
      <c r="G307" s="122"/>
      <c r="H307" s="122"/>
      <c r="I307" s="87">
        <v>6145</v>
      </c>
      <c r="J307" s="85"/>
      <c r="K307" s="85"/>
      <c r="L307" s="85"/>
      <c r="M307" s="85"/>
      <c r="N307" s="85"/>
    </row>
    <row r="308" spans="1:14" x14ac:dyDescent="0.25">
      <c r="A308" s="125" t="s">
        <v>612</v>
      </c>
      <c r="B308" s="122"/>
      <c r="C308" s="122"/>
      <c r="D308" s="122"/>
      <c r="E308" s="122"/>
      <c r="F308" s="122"/>
      <c r="G308" s="122"/>
      <c r="H308" s="122"/>
      <c r="I308" s="87">
        <v>136</v>
      </c>
      <c r="J308" s="85"/>
      <c r="K308" s="85"/>
      <c r="L308" s="85"/>
      <c r="M308" s="85"/>
      <c r="N308" s="85"/>
    </row>
    <row r="309" spans="1:14" x14ac:dyDescent="0.25">
      <c r="A309" s="125" t="s">
        <v>613</v>
      </c>
      <c r="B309" s="122"/>
      <c r="C309" s="122"/>
      <c r="D309" s="122"/>
      <c r="E309" s="122"/>
      <c r="F309" s="122"/>
      <c r="G309" s="122"/>
      <c r="H309" s="122"/>
      <c r="I309" s="87">
        <v>136</v>
      </c>
      <c r="J309" s="85"/>
      <c r="K309" s="85"/>
      <c r="L309" s="85"/>
      <c r="M309" s="85"/>
      <c r="N309" s="85"/>
    </row>
    <row r="310" spans="1:14" x14ac:dyDescent="0.25">
      <c r="A310" s="125" t="s">
        <v>614</v>
      </c>
      <c r="B310" s="122"/>
      <c r="C310" s="122"/>
      <c r="D310" s="122"/>
      <c r="E310" s="122"/>
      <c r="F310" s="122"/>
      <c r="G310" s="122"/>
      <c r="H310" s="122"/>
      <c r="I310" s="87">
        <v>82</v>
      </c>
      <c r="J310" s="85"/>
      <c r="K310" s="85"/>
      <c r="L310" s="85"/>
      <c r="M310" s="85"/>
      <c r="N310" s="85"/>
    </row>
    <row r="311" spans="1:14" x14ac:dyDescent="0.25">
      <c r="A311" s="127" t="s">
        <v>1086</v>
      </c>
      <c r="B311" s="128"/>
      <c r="C311" s="128"/>
      <c r="D311" s="128"/>
      <c r="E311" s="128"/>
      <c r="F311" s="128"/>
      <c r="G311" s="128"/>
      <c r="H311" s="128"/>
      <c r="I311" s="92">
        <v>6499</v>
      </c>
      <c r="J311" s="90"/>
      <c r="K311" s="90"/>
      <c r="L311" s="90"/>
      <c r="M311" s="90"/>
      <c r="N311" s="90"/>
    </row>
    <row r="312" spans="1:14" ht="22.8" x14ac:dyDescent="0.25">
      <c r="A312" s="121" t="s">
        <v>1087</v>
      </c>
      <c r="B312" s="122"/>
      <c r="C312" s="122"/>
      <c r="D312" s="122"/>
      <c r="E312" s="122"/>
      <c r="F312" s="122"/>
      <c r="G312" s="122"/>
      <c r="H312" s="122"/>
      <c r="I312" s="93">
        <v>7386168</v>
      </c>
      <c r="J312" s="93">
        <v>1142133</v>
      </c>
      <c r="K312" s="93" t="s">
        <v>1088</v>
      </c>
      <c r="L312" s="93">
        <v>5440513</v>
      </c>
      <c r="M312" s="93"/>
      <c r="N312" s="93" t="s">
        <v>1089</v>
      </c>
    </row>
    <row r="313" spans="1:14" x14ac:dyDescent="0.25">
      <c r="A313" s="121" t="s">
        <v>578</v>
      </c>
      <c r="B313" s="122"/>
      <c r="C313" s="122"/>
      <c r="D313" s="122"/>
      <c r="E313" s="122"/>
      <c r="F313" s="122"/>
      <c r="G313" s="122"/>
      <c r="H313" s="122"/>
      <c r="I313" s="93">
        <v>995812</v>
      </c>
      <c r="J313" s="93"/>
      <c r="K313" s="93"/>
      <c r="L313" s="93"/>
      <c r="M313" s="93"/>
      <c r="N313" s="93"/>
    </row>
    <row r="314" spans="1:14" x14ac:dyDescent="0.25">
      <c r="A314" s="121" t="s">
        <v>588</v>
      </c>
      <c r="B314" s="122"/>
      <c r="C314" s="122"/>
      <c r="D314" s="122"/>
      <c r="E314" s="122"/>
      <c r="F314" s="122"/>
      <c r="G314" s="122"/>
      <c r="H314" s="122"/>
      <c r="I314" s="93">
        <v>588612</v>
      </c>
      <c r="J314" s="93"/>
      <c r="K314" s="93"/>
      <c r="L314" s="93"/>
      <c r="M314" s="93"/>
      <c r="N314" s="93"/>
    </row>
    <row r="315" spans="1:14" x14ac:dyDescent="0.25">
      <c r="A315" s="123" t="s">
        <v>1090</v>
      </c>
      <c r="B315" s="124"/>
      <c r="C315" s="124"/>
      <c r="D315" s="124"/>
      <c r="E315" s="124"/>
      <c r="F315" s="124"/>
      <c r="G315" s="124"/>
      <c r="H315" s="124"/>
      <c r="I315" s="93"/>
      <c r="J315" s="93"/>
      <c r="K315" s="93"/>
      <c r="L315" s="93"/>
      <c r="M315" s="93"/>
      <c r="N315" s="93"/>
    </row>
    <row r="316" spans="1:14" ht="22.8" x14ac:dyDescent="0.25">
      <c r="A316" s="121" t="s">
        <v>1060</v>
      </c>
      <c r="B316" s="122"/>
      <c r="C316" s="122"/>
      <c r="D316" s="122"/>
      <c r="E316" s="122"/>
      <c r="F316" s="122"/>
      <c r="G316" s="122"/>
      <c r="H316" s="122"/>
      <c r="I316" s="93">
        <v>8310182</v>
      </c>
      <c r="J316" s="93"/>
      <c r="K316" s="93"/>
      <c r="L316" s="93"/>
      <c r="M316" s="93"/>
      <c r="N316" s="93" t="s">
        <v>1091</v>
      </c>
    </row>
    <row r="317" spans="1:14" ht="22.8" x14ac:dyDescent="0.25">
      <c r="A317" s="121" t="s">
        <v>1062</v>
      </c>
      <c r="B317" s="122"/>
      <c r="C317" s="122"/>
      <c r="D317" s="122"/>
      <c r="E317" s="122"/>
      <c r="F317" s="122"/>
      <c r="G317" s="122"/>
      <c r="H317" s="122"/>
      <c r="I317" s="93">
        <v>46855</v>
      </c>
      <c r="J317" s="93"/>
      <c r="K317" s="93"/>
      <c r="L317" s="93"/>
      <c r="M317" s="93"/>
      <c r="N317" s="93" t="s">
        <v>1063</v>
      </c>
    </row>
    <row r="318" spans="1:14" x14ac:dyDescent="0.25">
      <c r="A318" s="121" t="s">
        <v>1064</v>
      </c>
      <c r="B318" s="122"/>
      <c r="C318" s="122"/>
      <c r="D318" s="122"/>
      <c r="E318" s="122"/>
      <c r="F318" s="122"/>
      <c r="G318" s="122"/>
      <c r="H318" s="122"/>
      <c r="I318" s="93">
        <v>613555</v>
      </c>
      <c r="J318" s="93"/>
      <c r="K318" s="93"/>
      <c r="L318" s="93"/>
      <c r="M318" s="93"/>
      <c r="N318" s="93"/>
    </row>
    <row r="319" spans="1:14" ht="22.8" x14ac:dyDescent="0.25">
      <c r="A319" s="121" t="s">
        <v>608</v>
      </c>
      <c r="B319" s="122"/>
      <c r="C319" s="122"/>
      <c r="D319" s="122"/>
      <c r="E319" s="122"/>
      <c r="F319" s="122"/>
      <c r="G319" s="122"/>
      <c r="H319" s="122"/>
      <c r="I319" s="93">
        <v>8970592</v>
      </c>
      <c r="J319" s="93"/>
      <c r="K319" s="93"/>
      <c r="L319" s="93"/>
      <c r="M319" s="93"/>
      <c r="N319" s="93" t="s">
        <v>1089</v>
      </c>
    </row>
    <row r="320" spans="1:14" x14ac:dyDescent="0.25">
      <c r="A320" s="121" t="s">
        <v>609</v>
      </c>
      <c r="B320" s="122"/>
      <c r="C320" s="122"/>
      <c r="D320" s="122"/>
      <c r="E320" s="122"/>
      <c r="F320" s="122"/>
      <c r="G320" s="122"/>
      <c r="H320" s="122"/>
      <c r="I320" s="93"/>
      <c r="J320" s="93"/>
      <c r="K320" s="93"/>
      <c r="L320" s="93"/>
      <c r="M320" s="93"/>
      <c r="N320" s="93"/>
    </row>
    <row r="321" spans="1:14" x14ac:dyDescent="0.25">
      <c r="A321" s="121" t="s">
        <v>610</v>
      </c>
      <c r="B321" s="122"/>
      <c r="C321" s="122"/>
      <c r="D321" s="122"/>
      <c r="E321" s="122"/>
      <c r="F321" s="122"/>
      <c r="G321" s="122"/>
      <c r="H321" s="122"/>
      <c r="I321" s="93">
        <v>5440513</v>
      </c>
      <c r="J321" s="93"/>
      <c r="K321" s="93"/>
      <c r="L321" s="93"/>
      <c r="M321" s="93"/>
      <c r="N321" s="93"/>
    </row>
    <row r="322" spans="1:14" x14ac:dyDescent="0.25">
      <c r="A322" s="121" t="s">
        <v>611</v>
      </c>
      <c r="B322" s="122"/>
      <c r="C322" s="122"/>
      <c r="D322" s="122"/>
      <c r="E322" s="122"/>
      <c r="F322" s="122"/>
      <c r="G322" s="122"/>
      <c r="H322" s="122"/>
      <c r="I322" s="93">
        <v>189967</v>
      </c>
      <c r="J322" s="93"/>
      <c r="K322" s="93"/>
      <c r="L322" s="93"/>
      <c r="M322" s="93"/>
      <c r="N322" s="93"/>
    </row>
    <row r="323" spans="1:14" x14ac:dyDescent="0.25">
      <c r="A323" s="121" t="s">
        <v>612</v>
      </c>
      <c r="B323" s="122"/>
      <c r="C323" s="122"/>
      <c r="D323" s="122"/>
      <c r="E323" s="122"/>
      <c r="F323" s="122"/>
      <c r="G323" s="122"/>
      <c r="H323" s="122"/>
      <c r="I323" s="93">
        <v>1184477</v>
      </c>
      <c r="J323" s="93"/>
      <c r="K323" s="93"/>
      <c r="L323" s="93"/>
      <c r="M323" s="93"/>
      <c r="N323" s="93"/>
    </row>
    <row r="324" spans="1:14" x14ac:dyDescent="0.25">
      <c r="A324" s="121" t="s">
        <v>1065</v>
      </c>
      <c r="B324" s="122"/>
      <c r="C324" s="122"/>
      <c r="D324" s="122"/>
      <c r="E324" s="122"/>
      <c r="F324" s="122"/>
      <c r="G324" s="122"/>
      <c r="H324" s="122"/>
      <c r="I324" s="93">
        <v>613555</v>
      </c>
      <c r="J324" s="93"/>
      <c r="K324" s="93"/>
      <c r="L324" s="93"/>
      <c r="M324" s="93"/>
      <c r="N324" s="93"/>
    </row>
    <row r="325" spans="1:14" ht="12.75" customHeight="1" x14ac:dyDescent="0.25">
      <c r="A325" s="121" t="s">
        <v>613</v>
      </c>
      <c r="B325" s="122"/>
      <c r="C325" s="122"/>
      <c r="D325" s="122"/>
      <c r="E325" s="122"/>
      <c r="F325" s="122"/>
      <c r="G325" s="122"/>
      <c r="H325" s="122"/>
      <c r="I325" s="93">
        <v>995812</v>
      </c>
      <c r="J325" s="93"/>
      <c r="K325" s="93"/>
      <c r="L325" s="93"/>
      <c r="M325" s="93"/>
      <c r="N325" s="93"/>
    </row>
    <row r="326" spans="1:14" x14ac:dyDescent="0.25">
      <c r="A326" s="121" t="s">
        <v>614</v>
      </c>
      <c r="B326" s="122"/>
      <c r="C326" s="122"/>
      <c r="D326" s="122"/>
      <c r="E326" s="122"/>
      <c r="F326" s="122"/>
      <c r="G326" s="122"/>
      <c r="H326" s="122"/>
      <c r="I326" s="93">
        <v>588612</v>
      </c>
      <c r="J326" s="93"/>
      <c r="K326" s="93"/>
      <c r="L326" s="93"/>
      <c r="M326" s="93"/>
      <c r="N326" s="93"/>
    </row>
    <row r="327" spans="1:14" ht="22.8" x14ac:dyDescent="0.25">
      <c r="A327" s="123" t="s">
        <v>1092</v>
      </c>
      <c r="B327" s="124"/>
      <c r="C327" s="124"/>
      <c r="D327" s="124"/>
      <c r="E327" s="124"/>
      <c r="F327" s="124"/>
      <c r="G327" s="124"/>
      <c r="H327" s="124"/>
      <c r="I327" s="155">
        <v>8970592</v>
      </c>
      <c r="J327" s="93"/>
      <c r="K327" s="93"/>
      <c r="L327" s="93"/>
      <c r="M327" s="93"/>
      <c r="N327" s="93" t="s">
        <v>1089</v>
      </c>
    </row>
    <row r="328" spans="1:14" ht="12.75" customHeight="1" x14ac:dyDescent="0.25">
      <c r="A328" s="126" t="s">
        <v>1102</v>
      </c>
      <c r="B328" s="126"/>
      <c r="C328" s="126"/>
      <c r="D328" s="126"/>
      <c r="E328" s="126"/>
      <c r="F328" s="126"/>
      <c r="G328" s="126"/>
      <c r="H328" s="126"/>
      <c r="I328" s="101">
        <v>139857.60000000001</v>
      </c>
      <c r="J328" s="100"/>
      <c r="K328" s="100"/>
      <c r="L328" s="100"/>
      <c r="M328" s="100"/>
      <c r="N328" s="116"/>
    </row>
    <row r="329" spans="1:14" s="97" customFormat="1" ht="12.75" customHeight="1" x14ac:dyDescent="0.25">
      <c r="A329" s="95"/>
      <c r="B329" s="95"/>
      <c r="C329" s="95"/>
      <c r="D329" s="95"/>
      <c r="E329" s="95"/>
      <c r="F329" s="95"/>
      <c r="G329" s="95"/>
      <c r="H329" s="95"/>
      <c r="I329" s="94"/>
      <c r="J329" s="98"/>
      <c r="K329" s="98"/>
      <c r="L329" s="98"/>
      <c r="M329" s="98"/>
      <c r="N329" s="117"/>
    </row>
    <row r="330" spans="1:14" s="97" customFormat="1" ht="12.75" customHeight="1" x14ac:dyDescent="0.25">
      <c r="A330" s="95"/>
      <c r="B330" s="95"/>
      <c r="C330" s="95"/>
      <c r="D330" s="95"/>
      <c r="E330" s="95"/>
      <c r="F330" s="95"/>
      <c r="G330" s="95"/>
      <c r="H330" s="95"/>
      <c r="I330" s="94"/>
      <c r="J330" s="98"/>
      <c r="K330" s="98"/>
      <c r="L330" s="98"/>
      <c r="M330" s="98"/>
      <c r="N330" s="117"/>
    </row>
    <row r="331" spans="1:14" x14ac:dyDescent="0.25">
      <c r="A331" s="55"/>
      <c r="B331" s="58"/>
      <c r="C331" s="58"/>
      <c r="D331" s="55"/>
      <c r="E331" s="56"/>
      <c r="F331" s="56"/>
      <c r="G331" s="56"/>
      <c r="H331" s="56"/>
      <c r="I331" s="57"/>
      <c r="J331" s="56"/>
      <c r="K331" s="56"/>
      <c r="L331" s="56"/>
      <c r="M331" s="56"/>
      <c r="N331" s="76"/>
    </row>
    <row r="332" spans="1:14" x14ac:dyDescent="0.25">
      <c r="A332" s="55"/>
      <c r="B332" s="58"/>
      <c r="C332" s="77" t="s">
        <v>1104</v>
      </c>
      <c r="D332" s="55"/>
      <c r="E332" s="56"/>
      <c r="F332" s="77" t="s">
        <v>316</v>
      </c>
      <c r="G332" s="77"/>
      <c r="H332" s="77"/>
      <c r="I332" s="56"/>
      <c r="J332" s="56"/>
      <c r="K332" s="56"/>
      <c r="L332" s="56"/>
      <c r="M332" s="56"/>
      <c r="N332" s="76"/>
    </row>
    <row r="333" spans="1:14" x14ac:dyDescent="0.25">
      <c r="A333" s="78"/>
      <c r="B333" s="78"/>
      <c r="C333" s="78"/>
      <c r="D333" s="78"/>
      <c r="E333" s="79"/>
      <c r="F333" s="79"/>
      <c r="G333" s="79"/>
      <c r="H333" s="79"/>
      <c r="I333" s="79"/>
      <c r="J333" s="79"/>
      <c r="K333" s="79"/>
      <c r="L333" s="79"/>
      <c r="M333" s="79"/>
      <c r="N333" s="76"/>
    </row>
    <row r="334" spans="1:14" x14ac:dyDescent="0.25">
      <c r="A334" s="53"/>
      <c r="B334" s="53"/>
      <c r="C334" s="53"/>
      <c r="D334" s="53"/>
      <c r="E334" s="54"/>
      <c r="F334" s="54"/>
      <c r="G334" s="54"/>
      <c r="H334" s="54"/>
      <c r="I334" s="54"/>
      <c r="J334" s="54"/>
      <c r="K334" s="54"/>
      <c r="L334" s="54"/>
      <c r="M334" s="54"/>
      <c r="N334" s="52"/>
    </row>
    <row r="336" spans="1:14" x14ac:dyDescent="0.25">
      <c r="B336" s="53"/>
    </row>
  </sheetData>
  <sheetProtection algorithmName="SHA-512" hashValue="IX8PYmlBio7pUxKXM+rxwFM4ofRpbJv5qLbmQpdle1tDEk4cOdA1q4hI50sOJlCPzDdERg2xNXmQfRaGUJfe8A==" saltValue="L3vz3Ld7ImbKAgDOuccCyQ==" spinCount="100000" sheet="1" objects="1" scenarios="1" selectLockedCells="1" selectUnlockedCells="1"/>
  <mergeCells count="148">
    <mergeCell ref="A13:N13"/>
    <mergeCell ref="C14:E14"/>
    <mergeCell ref="D15:E15"/>
    <mergeCell ref="G20:G21"/>
    <mergeCell ref="M18:N19"/>
    <mergeCell ref="E18:G19"/>
    <mergeCell ref="I18:L19"/>
    <mergeCell ref="M20:M21"/>
    <mergeCell ref="H18:H21"/>
    <mergeCell ref="I20:I21"/>
    <mergeCell ref="J20:J21"/>
    <mergeCell ref="L20:L21"/>
    <mergeCell ref="N20:N21"/>
    <mergeCell ref="A18:A21"/>
    <mergeCell ref="D18:D21"/>
    <mergeCell ref="C18:C21"/>
    <mergeCell ref="B18:B21"/>
    <mergeCell ref="H15:M15"/>
    <mergeCell ref="A90:H90"/>
    <mergeCell ref="A91:H91"/>
    <mergeCell ref="A92:H92"/>
    <mergeCell ref="A93:H93"/>
    <mergeCell ref="A94:H94"/>
    <mergeCell ref="A95:H95"/>
    <mergeCell ref="A23:N23"/>
    <mergeCell ref="A24:N24"/>
    <mergeCell ref="A28:N28"/>
    <mergeCell ref="A62:N62"/>
    <mergeCell ref="A66:N66"/>
    <mergeCell ref="A80:N80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114:H114"/>
    <mergeCell ref="A115:H115"/>
    <mergeCell ref="A116:H116"/>
    <mergeCell ref="A117:H117"/>
    <mergeCell ref="A118:H118"/>
    <mergeCell ref="A119:H119"/>
    <mergeCell ref="A108:H108"/>
    <mergeCell ref="A109:H109"/>
    <mergeCell ref="A110:H110"/>
    <mergeCell ref="A111:H111"/>
    <mergeCell ref="A112:H112"/>
    <mergeCell ref="A113:H113"/>
    <mergeCell ref="A126:N126"/>
    <mergeCell ref="A133:N133"/>
    <mergeCell ref="A185:N185"/>
    <mergeCell ref="A192:N192"/>
    <mergeCell ref="A200:N200"/>
    <mergeCell ref="A224:N224"/>
    <mergeCell ref="A120:H120"/>
    <mergeCell ref="A121:H121"/>
    <mergeCell ref="A122:H122"/>
    <mergeCell ref="A123:H123"/>
    <mergeCell ref="A124:H124"/>
    <mergeCell ref="A125:N125"/>
    <mergeCell ref="A257:H257"/>
    <mergeCell ref="A258:H258"/>
    <mergeCell ref="A259:H259"/>
    <mergeCell ref="A260:H260"/>
    <mergeCell ref="A261:H261"/>
    <mergeCell ref="A262:H262"/>
    <mergeCell ref="A230:N230"/>
    <mergeCell ref="A242:N242"/>
    <mergeCell ref="A250:N250"/>
    <mergeCell ref="A254:H254"/>
    <mergeCell ref="A255:H255"/>
    <mergeCell ref="A256:H256"/>
    <mergeCell ref="A269:H269"/>
    <mergeCell ref="A270:H270"/>
    <mergeCell ref="A271:H271"/>
    <mergeCell ref="A272:H272"/>
    <mergeCell ref="A273:H273"/>
    <mergeCell ref="A274:H274"/>
    <mergeCell ref="A263:H263"/>
    <mergeCell ref="A264:H264"/>
    <mergeCell ref="A265:H265"/>
    <mergeCell ref="A266:H266"/>
    <mergeCell ref="A267:H267"/>
    <mergeCell ref="A268:H268"/>
    <mergeCell ref="A281:H281"/>
    <mergeCell ref="A282:H282"/>
    <mergeCell ref="A283:H283"/>
    <mergeCell ref="A284:H284"/>
    <mergeCell ref="A285:H285"/>
    <mergeCell ref="A286:H286"/>
    <mergeCell ref="A275:H275"/>
    <mergeCell ref="A276:H276"/>
    <mergeCell ref="A277:H277"/>
    <mergeCell ref="A278:H278"/>
    <mergeCell ref="A279:H279"/>
    <mergeCell ref="A280:H280"/>
    <mergeCell ref="A328:H328"/>
    <mergeCell ref="A314:H314"/>
    <mergeCell ref="A309:H309"/>
    <mergeCell ref="A310:H310"/>
    <mergeCell ref="A311:H311"/>
    <mergeCell ref="A312:H312"/>
    <mergeCell ref="A313:H313"/>
    <mergeCell ref="A303:H303"/>
    <mergeCell ref="A304:H304"/>
    <mergeCell ref="A305:H305"/>
    <mergeCell ref="A306:H306"/>
    <mergeCell ref="A307:H307"/>
    <mergeCell ref="A308:H308"/>
    <mergeCell ref="A324:H324"/>
    <mergeCell ref="A325:H325"/>
    <mergeCell ref="A326:H326"/>
    <mergeCell ref="A327:H327"/>
    <mergeCell ref="A319:H319"/>
    <mergeCell ref="A320:H320"/>
    <mergeCell ref="A321:H321"/>
    <mergeCell ref="A322:H322"/>
    <mergeCell ref="A323:H323"/>
    <mergeCell ref="A1:N1"/>
    <mergeCell ref="J3:K3"/>
    <mergeCell ref="J4:K4"/>
    <mergeCell ref="J5:N5"/>
    <mergeCell ref="J6:N6"/>
    <mergeCell ref="J7:N7"/>
    <mergeCell ref="J8:N8"/>
    <mergeCell ref="D10:L10"/>
    <mergeCell ref="A318:H318"/>
    <mergeCell ref="A315:H315"/>
    <mergeCell ref="A316:H316"/>
    <mergeCell ref="A317:H317"/>
    <mergeCell ref="A297:H297"/>
    <mergeCell ref="A298:H298"/>
    <mergeCell ref="A299:H299"/>
    <mergeCell ref="A300:H300"/>
    <mergeCell ref="A301:H301"/>
    <mergeCell ref="A302:H302"/>
    <mergeCell ref="A287:H287"/>
    <mergeCell ref="A288:H288"/>
    <mergeCell ref="A289:H289"/>
    <mergeCell ref="A290:N290"/>
    <mergeCell ref="A295:H295"/>
    <mergeCell ref="A296:H296"/>
  </mergeCells>
  <phoneticPr fontId="0" type="noConversion"/>
  <pageMargins left="3.937007874015748E-2" right="0" top="0.94488188976377963" bottom="0.27559055118110237" header="0.27559055118110237" footer="0.19685039370078741"/>
  <pageSetup paperSize="9" scale="9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04"/>
  <sheetViews>
    <sheetView showGridLines="0" topLeftCell="A94" workbookViewId="0">
      <selection activeCell="B19" sqref="B19"/>
    </sheetView>
  </sheetViews>
  <sheetFormatPr defaultRowHeight="13.2" x14ac:dyDescent="0.25"/>
  <cols>
    <col min="1" max="1" width="4" style="15" customWidth="1"/>
    <col min="2" max="2" width="70.44140625" style="14" customWidth="1"/>
    <col min="3" max="3" width="4" style="12" customWidth="1"/>
    <col min="4" max="4" width="63.33203125" style="4" customWidth="1"/>
    <col min="5" max="5" width="3.5546875" customWidth="1"/>
    <col min="6" max="6" width="48.33203125" customWidth="1"/>
    <col min="12" max="12" width="18.5546875" bestFit="1" customWidth="1"/>
  </cols>
  <sheetData>
    <row r="1" spans="1:6" ht="13.5" customHeight="1" x14ac:dyDescent="0.3">
      <c r="A1" s="152" t="s">
        <v>232</v>
      </c>
      <c r="B1" s="153"/>
      <c r="C1" s="153"/>
      <c r="D1" s="153"/>
      <c r="E1" s="16"/>
      <c r="F1" s="10"/>
    </row>
    <row r="2" spans="1:6" x14ac:dyDescent="0.25">
      <c r="A2" s="12"/>
      <c r="B2" s="4"/>
      <c r="E2" s="16"/>
    </row>
    <row r="3" spans="1:6" ht="13.8" thickBot="1" x14ac:dyDescent="0.3">
      <c r="A3" s="12"/>
      <c r="B3" s="4"/>
      <c r="E3" s="16"/>
    </row>
    <row r="4" spans="1:6" ht="13.8" thickBot="1" x14ac:dyDescent="0.3">
      <c r="A4" s="17" t="s">
        <v>170</v>
      </c>
      <c r="B4" s="18" t="s">
        <v>233</v>
      </c>
      <c r="C4" s="18" t="s">
        <v>170</v>
      </c>
      <c r="D4" s="19" t="s">
        <v>234</v>
      </c>
      <c r="E4" s="18" t="s">
        <v>170</v>
      </c>
      <c r="F4" s="20" t="s">
        <v>250</v>
      </c>
    </row>
    <row r="5" spans="1:6" x14ac:dyDescent="0.25">
      <c r="A5" s="21"/>
      <c r="B5" s="22"/>
      <c r="C5" s="21"/>
      <c r="D5" s="23"/>
      <c r="E5" s="24"/>
      <c r="F5" s="25"/>
    </row>
    <row r="6" spans="1:6" x14ac:dyDescent="0.25">
      <c r="A6" s="26"/>
      <c r="B6" s="27" t="s">
        <v>251</v>
      </c>
      <c r="C6" s="26">
        <v>1</v>
      </c>
      <c r="D6" s="28" t="s">
        <v>48</v>
      </c>
      <c r="E6" s="24">
        <v>1</v>
      </c>
      <c r="F6" s="25" t="s">
        <v>252</v>
      </c>
    </row>
    <row r="7" spans="1:6" x14ac:dyDescent="0.25">
      <c r="A7" s="26"/>
      <c r="B7" s="29"/>
      <c r="C7" s="26">
        <v>2</v>
      </c>
      <c r="D7" s="30" t="s">
        <v>171</v>
      </c>
      <c r="E7" s="24">
        <v>2</v>
      </c>
      <c r="F7" s="25" t="s">
        <v>253</v>
      </c>
    </row>
    <row r="8" spans="1:6" x14ac:dyDescent="0.25">
      <c r="A8" s="26">
        <v>1</v>
      </c>
      <c r="B8" s="31" t="s">
        <v>84</v>
      </c>
      <c r="C8" s="26">
        <v>3</v>
      </c>
      <c r="D8" s="30" t="s">
        <v>172</v>
      </c>
      <c r="E8" s="24">
        <v>3</v>
      </c>
      <c r="F8" s="25" t="s">
        <v>254</v>
      </c>
    </row>
    <row r="9" spans="1:6" x14ac:dyDescent="0.25">
      <c r="A9" s="32">
        <v>2</v>
      </c>
      <c r="B9" s="33" t="s">
        <v>85</v>
      </c>
      <c r="C9" s="26">
        <v>4</v>
      </c>
      <c r="D9" s="30" t="s">
        <v>173</v>
      </c>
      <c r="E9" s="24">
        <v>4</v>
      </c>
      <c r="F9" s="25" t="s">
        <v>255</v>
      </c>
    </row>
    <row r="10" spans="1:6" x14ac:dyDescent="0.25">
      <c r="A10" s="26">
        <v>3</v>
      </c>
      <c r="B10" s="31" t="s">
        <v>86</v>
      </c>
      <c r="C10" s="26">
        <v>5</v>
      </c>
      <c r="D10" s="30" t="s">
        <v>174</v>
      </c>
      <c r="E10" s="24">
        <v>5</v>
      </c>
      <c r="F10" s="25" t="s">
        <v>256</v>
      </c>
    </row>
    <row r="11" spans="1:6" x14ac:dyDescent="0.25">
      <c r="A11" s="32">
        <v>4</v>
      </c>
      <c r="B11" s="33" t="s">
        <v>87</v>
      </c>
      <c r="C11" s="26">
        <v>6</v>
      </c>
      <c r="D11" s="30" t="s">
        <v>175</v>
      </c>
      <c r="E11" s="24">
        <v>6</v>
      </c>
      <c r="F11" s="25" t="s">
        <v>257</v>
      </c>
    </row>
    <row r="12" spans="1:6" x14ac:dyDescent="0.25">
      <c r="A12" s="26">
        <v>5</v>
      </c>
      <c r="B12" s="33" t="s">
        <v>268</v>
      </c>
      <c r="D12" s="30"/>
      <c r="E12" s="24">
        <v>7</v>
      </c>
      <c r="F12" s="25" t="s">
        <v>258</v>
      </c>
    </row>
    <row r="13" spans="1:6" x14ac:dyDescent="0.25">
      <c r="A13" s="32">
        <v>6</v>
      </c>
      <c r="B13" s="33" t="s">
        <v>269</v>
      </c>
      <c r="C13" s="26">
        <v>7</v>
      </c>
      <c r="D13" s="28" t="s">
        <v>11</v>
      </c>
      <c r="E13" s="24">
        <v>8</v>
      </c>
      <c r="F13" s="25" t="s">
        <v>259</v>
      </c>
    </row>
    <row r="14" spans="1:6" x14ac:dyDescent="0.25">
      <c r="A14" s="26">
        <v>7</v>
      </c>
      <c r="B14" s="33" t="s">
        <v>270</v>
      </c>
      <c r="C14" s="26">
        <v>8</v>
      </c>
      <c r="D14" s="30" t="s">
        <v>176</v>
      </c>
      <c r="E14" s="24"/>
      <c r="F14" s="25"/>
    </row>
    <row r="15" spans="1:6" x14ac:dyDescent="0.25">
      <c r="A15" s="32">
        <v>8</v>
      </c>
      <c r="B15" s="33" t="s">
        <v>271</v>
      </c>
      <c r="C15" s="26">
        <v>9</v>
      </c>
      <c r="D15" s="30" t="s">
        <v>177</v>
      </c>
      <c r="E15" s="24"/>
      <c r="F15" s="25"/>
    </row>
    <row r="16" spans="1:6" x14ac:dyDescent="0.25">
      <c r="A16" s="26">
        <v>9</v>
      </c>
      <c r="B16" s="33" t="s">
        <v>272</v>
      </c>
      <c r="C16" s="26">
        <v>10</v>
      </c>
      <c r="D16" s="30" t="s">
        <v>178</v>
      </c>
      <c r="E16" s="24"/>
      <c r="F16" s="25"/>
    </row>
    <row r="17" spans="1:6" x14ac:dyDescent="0.25">
      <c r="A17" s="32">
        <v>10</v>
      </c>
      <c r="B17" s="33" t="s">
        <v>273</v>
      </c>
      <c r="C17" s="26">
        <v>11</v>
      </c>
      <c r="D17" s="30" t="s">
        <v>179</v>
      </c>
      <c r="E17" s="24"/>
      <c r="F17" s="25"/>
    </row>
    <row r="18" spans="1:6" x14ac:dyDescent="0.25">
      <c r="A18" s="26">
        <v>11</v>
      </c>
      <c r="B18" s="33" t="s">
        <v>274</v>
      </c>
      <c r="C18" s="26">
        <v>12</v>
      </c>
      <c r="D18" s="30" t="s">
        <v>180</v>
      </c>
      <c r="E18" s="24"/>
      <c r="F18" s="25"/>
    </row>
    <row r="19" spans="1:6" x14ac:dyDescent="0.25">
      <c r="A19" s="26">
        <v>12</v>
      </c>
      <c r="B19" s="33" t="s">
        <v>88</v>
      </c>
      <c r="D19" s="30"/>
      <c r="E19" s="24"/>
      <c r="F19" s="25"/>
    </row>
    <row r="20" spans="1:6" x14ac:dyDescent="0.25">
      <c r="A20" s="26">
        <v>13</v>
      </c>
      <c r="B20" s="31" t="s">
        <v>89</v>
      </c>
      <c r="C20" s="26">
        <v>13</v>
      </c>
      <c r="D20" s="28" t="s">
        <v>8</v>
      </c>
      <c r="E20" s="24"/>
      <c r="F20" s="25"/>
    </row>
    <row r="21" spans="1:6" x14ac:dyDescent="0.25">
      <c r="A21" s="26">
        <v>14</v>
      </c>
      <c r="B21" s="31" t="s">
        <v>90</v>
      </c>
      <c r="C21" s="26">
        <v>14</v>
      </c>
      <c r="D21" s="30" t="s">
        <v>181</v>
      </c>
      <c r="E21" s="24"/>
      <c r="F21" s="25"/>
    </row>
    <row r="22" spans="1:6" x14ac:dyDescent="0.25">
      <c r="A22" s="26">
        <v>15</v>
      </c>
      <c r="B22" s="31" t="s">
        <v>91</v>
      </c>
      <c r="C22" s="26">
        <v>15</v>
      </c>
      <c r="D22" s="30" t="s">
        <v>182</v>
      </c>
      <c r="E22" s="24"/>
      <c r="F22" s="25"/>
    </row>
    <row r="23" spans="1:6" x14ac:dyDescent="0.25">
      <c r="A23" s="26">
        <v>16</v>
      </c>
      <c r="B23" s="31" t="s">
        <v>260</v>
      </c>
      <c r="C23" s="26">
        <v>16</v>
      </c>
      <c r="D23" s="30" t="s">
        <v>183</v>
      </c>
      <c r="E23" s="24"/>
      <c r="F23" s="25"/>
    </row>
    <row r="24" spans="1:6" x14ac:dyDescent="0.25">
      <c r="A24" s="26">
        <v>17</v>
      </c>
      <c r="B24" s="31" t="s">
        <v>261</v>
      </c>
      <c r="C24" s="26">
        <v>17</v>
      </c>
      <c r="D24" s="30" t="s">
        <v>184</v>
      </c>
      <c r="E24" s="24"/>
      <c r="F24" s="25"/>
    </row>
    <row r="25" spans="1:6" x14ac:dyDescent="0.25">
      <c r="A25" s="26">
        <v>18</v>
      </c>
      <c r="B25" s="31" t="s">
        <v>262</v>
      </c>
      <c r="C25" s="26">
        <v>18</v>
      </c>
      <c r="D25" s="30" t="s">
        <v>185</v>
      </c>
      <c r="E25" s="24"/>
      <c r="F25" s="25"/>
    </row>
    <row r="26" spans="1:6" x14ac:dyDescent="0.25">
      <c r="A26" s="26">
        <v>19</v>
      </c>
      <c r="B26" s="33" t="s">
        <v>92</v>
      </c>
      <c r="D26" s="30"/>
      <c r="E26" s="24"/>
      <c r="F26" s="25"/>
    </row>
    <row r="27" spans="1:6" x14ac:dyDescent="0.25">
      <c r="A27" s="26">
        <v>20</v>
      </c>
      <c r="B27" s="31" t="s">
        <v>93</v>
      </c>
      <c r="C27" s="26">
        <v>19</v>
      </c>
      <c r="D27" s="28" t="s">
        <v>9</v>
      </c>
      <c r="E27" s="24"/>
      <c r="F27" s="25"/>
    </row>
    <row r="28" spans="1:6" x14ac:dyDescent="0.25">
      <c r="A28" s="26">
        <v>21</v>
      </c>
      <c r="B28" s="31" t="s">
        <v>94</v>
      </c>
      <c r="C28" s="26">
        <v>20</v>
      </c>
      <c r="D28" s="30" t="s">
        <v>186</v>
      </c>
      <c r="E28" s="24"/>
      <c r="F28" s="25"/>
    </row>
    <row r="29" spans="1:6" x14ac:dyDescent="0.25">
      <c r="A29" s="26">
        <v>22</v>
      </c>
      <c r="B29" s="31" t="s">
        <v>95</v>
      </c>
      <c r="C29" s="26">
        <v>21</v>
      </c>
      <c r="D29" s="30" t="s">
        <v>187</v>
      </c>
      <c r="E29" s="24"/>
      <c r="F29" s="25"/>
    </row>
    <row r="30" spans="1:6" x14ac:dyDescent="0.25">
      <c r="A30" s="26">
        <v>23</v>
      </c>
      <c r="B30" s="31" t="s">
        <v>96</v>
      </c>
      <c r="C30" s="26">
        <v>22</v>
      </c>
      <c r="D30" s="30" t="s">
        <v>188</v>
      </c>
      <c r="E30" s="24"/>
      <c r="F30" s="25"/>
    </row>
    <row r="31" spans="1:6" x14ac:dyDescent="0.25">
      <c r="A31" s="26">
        <v>24</v>
      </c>
      <c r="B31" s="33" t="s">
        <v>97</v>
      </c>
      <c r="C31" s="26">
        <v>23</v>
      </c>
      <c r="D31" s="30" t="s">
        <v>189</v>
      </c>
      <c r="E31" s="24"/>
      <c r="F31" s="25"/>
    </row>
    <row r="32" spans="1:6" x14ac:dyDescent="0.25">
      <c r="A32" s="26">
        <v>25</v>
      </c>
      <c r="B32" s="33" t="s">
        <v>98</v>
      </c>
      <c r="C32" s="26">
        <v>24</v>
      </c>
      <c r="D32" s="30" t="s">
        <v>190</v>
      </c>
      <c r="E32" s="24"/>
      <c r="F32" s="25"/>
    </row>
    <row r="33" spans="1:6" x14ac:dyDescent="0.25">
      <c r="A33" s="26">
        <v>26</v>
      </c>
      <c r="B33" s="33" t="s">
        <v>99</v>
      </c>
      <c r="D33" s="30"/>
      <c r="E33" s="24"/>
      <c r="F33" s="25"/>
    </row>
    <row r="34" spans="1:6" x14ac:dyDescent="0.25">
      <c r="A34" s="26">
        <v>27</v>
      </c>
      <c r="B34" s="33" t="s">
        <v>100</v>
      </c>
      <c r="C34" s="26">
        <v>25</v>
      </c>
      <c r="D34" s="28" t="s">
        <v>10</v>
      </c>
      <c r="E34" s="24"/>
      <c r="F34" s="25"/>
    </row>
    <row r="35" spans="1:6" x14ac:dyDescent="0.25">
      <c r="A35" s="26">
        <v>28</v>
      </c>
      <c r="B35" s="33" t="s">
        <v>101</v>
      </c>
      <c r="C35" s="26">
        <v>26</v>
      </c>
      <c r="D35" s="30" t="s">
        <v>191</v>
      </c>
      <c r="E35" s="24"/>
      <c r="F35" s="25"/>
    </row>
    <row r="36" spans="1:6" x14ac:dyDescent="0.25">
      <c r="A36" s="26">
        <v>29</v>
      </c>
      <c r="B36" s="33" t="s">
        <v>102</v>
      </c>
      <c r="C36" s="26">
        <v>27</v>
      </c>
      <c r="D36" s="30" t="s">
        <v>192</v>
      </c>
      <c r="E36" s="24"/>
      <c r="F36" s="25"/>
    </row>
    <row r="37" spans="1:6" x14ac:dyDescent="0.25">
      <c r="A37" s="26">
        <v>30</v>
      </c>
      <c r="B37" s="33" t="s">
        <v>103</v>
      </c>
      <c r="C37" s="26">
        <v>28</v>
      </c>
      <c r="D37" s="30" t="s">
        <v>193</v>
      </c>
      <c r="E37" s="24"/>
      <c r="F37" s="25"/>
    </row>
    <row r="38" spans="1:6" x14ac:dyDescent="0.25">
      <c r="A38" s="26">
        <v>31</v>
      </c>
      <c r="B38" s="31" t="s">
        <v>104</v>
      </c>
      <c r="C38" s="26">
        <v>29</v>
      </c>
      <c r="D38" s="30" t="s">
        <v>194</v>
      </c>
      <c r="E38" s="24"/>
      <c r="F38" s="25"/>
    </row>
    <row r="39" spans="1:6" x14ac:dyDescent="0.25">
      <c r="A39" s="26">
        <v>32</v>
      </c>
      <c r="B39" s="33" t="s">
        <v>235</v>
      </c>
      <c r="C39" s="26">
        <v>30</v>
      </c>
      <c r="D39" s="30" t="s">
        <v>195</v>
      </c>
      <c r="E39" s="24"/>
      <c r="F39" s="25"/>
    </row>
    <row r="40" spans="1:6" x14ac:dyDescent="0.25">
      <c r="A40" s="26">
        <v>33</v>
      </c>
      <c r="B40" s="31" t="s">
        <v>105</v>
      </c>
      <c r="D40" s="30"/>
      <c r="E40" s="24"/>
      <c r="F40" s="25"/>
    </row>
    <row r="41" spans="1:6" x14ac:dyDescent="0.25">
      <c r="A41" s="26">
        <v>34</v>
      </c>
      <c r="B41" s="31" t="s">
        <v>106</v>
      </c>
      <c r="C41" s="26">
        <v>31</v>
      </c>
      <c r="D41" s="28" t="s">
        <v>14</v>
      </c>
      <c r="E41" s="24"/>
      <c r="F41" s="25"/>
    </row>
    <row r="42" spans="1:6" x14ac:dyDescent="0.25">
      <c r="A42" s="26">
        <v>35</v>
      </c>
      <c r="B42" s="31" t="s">
        <v>107</v>
      </c>
      <c r="C42" s="26">
        <v>32</v>
      </c>
      <c r="D42" s="30" t="s">
        <v>196</v>
      </c>
      <c r="E42" s="24"/>
      <c r="F42" s="25"/>
    </row>
    <row r="43" spans="1:6" x14ac:dyDescent="0.25">
      <c r="A43" s="26">
        <v>36</v>
      </c>
      <c r="B43" s="31" t="s">
        <v>108</v>
      </c>
      <c r="C43" s="26">
        <v>33</v>
      </c>
      <c r="D43" s="30" t="s">
        <v>197</v>
      </c>
      <c r="E43" s="24"/>
      <c r="F43" s="25"/>
    </row>
    <row r="44" spans="1:6" x14ac:dyDescent="0.25">
      <c r="A44" s="26">
        <v>37</v>
      </c>
      <c r="B44" s="31" t="s">
        <v>109</v>
      </c>
      <c r="C44" s="26">
        <v>34</v>
      </c>
      <c r="D44" s="30" t="s">
        <v>198</v>
      </c>
      <c r="E44" s="24"/>
      <c r="F44" s="25"/>
    </row>
    <row r="45" spans="1:6" x14ac:dyDescent="0.25">
      <c r="A45" s="26">
        <v>38</v>
      </c>
      <c r="B45" s="31" t="s">
        <v>110</v>
      </c>
      <c r="C45" s="26">
        <v>35</v>
      </c>
      <c r="D45" s="30" t="s">
        <v>199</v>
      </c>
      <c r="E45" s="24"/>
      <c r="F45" s="25"/>
    </row>
    <row r="46" spans="1:6" x14ac:dyDescent="0.25">
      <c r="A46" s="26">
        <v>39</v>
      </c>
      <c r="B46" s="31" t="s">
        <v>111</v>
      </c>
      <c r="C46" s="26">
        <v>36</v>
      </c>
      <c r="D46" s="30" t="s">
        <v>200</v>
      </c>
      <c r="E46" s="24"/>
      <c r="F46" s="25"/>
    </row>
    <row r="47" spans="1:6" x14ac:dyDescent="0.25">
      <c r="A47" s="26">
        <v>40</v>
      </c>
      <c r="B47" s="31" t="s">
        <v>112</v>
      </c>
      <c r="C47" s="46"/>
      <c r="D47" s="30"/>
      <c r="E47" s="24"/>
      <c r="F47" s="25"/>
    </row>
    <row r="48" spans="1:6" x14ac:dyDescent="0.25">
      <c r="A48" s="26">
        <v>41</v>
      </c>
      <c r="B48" s="31" t="s">
        <v>113</v>
      </c>
      <c r="C48" s="26">
        <v>37</v>
      </c>
      <c r="D48" s="28" t="s">
        <v>13</v>
      </c>
      <c r="E48" s="24"/>
      <c r="F48" s="25"/>
    </row>
    <row r="49" spans="1:6" x14ac:dyDescent="0.25">
      <c r="A49" s="26">
        <v>42</v>
      </c>
      <c r="B49" s="33" t="s">
        <v>114</v>
      </c>
      <c r="C49" s="26">
        <v>38</v>
      </c>
      <c r="D49" s="30" t="s">
        <v>201</v>
      </c>
      <c r="E49" s="24"/>
      <c r="F49" s="25"/>
    </row>
    <row r="50" spans="1:6" x14ac:dyDescent="0.25">
      <c r="A50" s="26">
        <v>43</v>
      </c>
      <c r="B50" s="31" t="s">
        <v>115</v>
      </c>
      <c r="C50" s="26">
        <v>39</v>
      </c>
      <c r="D50" s="30" t="s">
        <v>202</v>
      </c>
      <c r="E50" s="24"/>
      <c r="F50" s="25"/>
    </row>
    <row r="51" spans="1:6" x14ac:dyDescent="0.25">
      <c r="A51" s="26">
        <v>44</v>
      </c>
      <c r="B51" s="31" t="s">
        <v>116</v>
      </c>
      <c r="C51" s="26">
        <v>40</v>
      </c>
      <c r="D51" s="30" t="s">
        <v>203</v>
      </c>
      <c r="E51" s="24"/>
      <c r="F51" s="25"/>
    </row>
    <row r="52" spans="1:6" x14ac:dyDescent="0.25">
      <c r="A52" s="26">
        <v>45</v>
      </c>
      <c r="B52" s="31" t="s">
        <v>117</v>
      </c>
      <c r="C52" s="26">
        <v>41</v>
      </c>
      <c r="D52" s="30" t="s">
        <v>204</v>
      </c>
      <c r="E52" s="24"/>
      <c r="F52" s="25"/>
    </row>
    <row r="53" spans="1:6" x14ac:dyDescent="0.25">
      <c r="A53" s="26">
        <v>46</v>
      </c>
      <c r="B53" s="31" t="s">
        <v>118</v>
      </c>
      <c r="C53" s="26">
        <v>42</v>
      </c>
      <c r="D53" s="30" t="s">
        <v>205</v>
      </c>
      <c r="E53" s="24"/>
      <c r="F53" s="25"/>
    </row>
    <row r="54" spans="1:6" x14ac:dyDescent="0.25">
      <c r="A54" s="26">
        <v>47</v>
      </c>
      <c r="B54" s="31" t="s">
        <v>275</v>
      </c>
      <c r="D54" s="30"/>
      <c r="E54" s="24"/>
      <c r="F54" s="25"/>
    </row>
    <row r="55" spans="1:6" x14ac:dyDescent="0.25">
      <c r="A55" s="26">
        <v>48</v>
      </c>
      <c r="B55" s="31" t="s">
        <v>276</v>
      </c>
      <c r="C55" s="26">
        <v>43</v>
      </c>
      <c r="D55" s="28" t="s">
        <v>12</v>
      </c>
      <c r="E55" s="24"/>
      <c r="F55" s="25"/>
    </row>
    <row r="56" spans="1:6" x14ac:dyDescent="0.25">
      <c r="A56" s="26">
        <v>49</v>
      </c>
      <c r="B56" s="31" t="s">
        <v>277</v>
      </c>
      <c r="C56" s="26">
        <v>44</v>
      </c>
      <c r="D56" s="30" t="s">
        <v>206</v>
      </c>
      <c r="E56" s="24"/>
      <c r="F56" s="25"/>
    </row>
    <row r="57" spans="1:6" x14ac:dyDescent="0.25">
      <c r="A57" s="26">
        <v>50</v>
      </c>
      <c r="B57" s="31" t="s">
        <v>278</v>
      </c>
      <c r="C57" s="26">
        <v>45</v>
      </c>
      <c r="D57" s="30" t="s">
        <v>207</v>
      </c>
      <c r="E57" s="24"/>
      <c r="F57" s="25"/>
    </row>
    <row r="58" spans="1:6" x14ac:dyDescent="0.25">
      <c r="A58" s="26">
        <v>51</v>
      </c>
      <c r="B58" s="31" t="s">
        <v>279</v>
      </c>
      <c r="C58" s="26">
        <v>46</v>
      </c>
      <c r="D58" s="30" t="s">
        <v>208</v>
      </c>
      <c r="E58" s="24"/>
      <c r="F58" s="25"/>
    </row>
    <row r="59" spans="1:6" x14ac:dyDescent="0.25">
      <c r="A59" s="26">
        <v>52</v>
      </c>
      <c r="B59" s="31" t="s">
        <v>280</v>
      </c>
      <c r="C59" s="26">
        <v>47</v>
      </c>
      <c r="D59" s="30" t="s">
        <v>209</v>
      </c>
      <c r="E59" s="24"/>
      <c r="F59" s="25"/>
    </row>
    <row r="60" spans="1:6" x14ac:dyDescent="0.25">
      <c r="A60" s="26">
        <v>53</v>
      </c>
      <c r="B60" s="31" t="s">
        <v>281</v>
      </c>
      <c r="C60" s="26">
        <v>48</v>
      </c>
      <c r="D60" s="30" t="s">
        <v>210</v>
      </c>
      <c r="E60" s="24"/>
      <c r="F60" s="25"/>
    </row>
    <row r="61" spans="1:6" x14ac:dyDescent="0.25">
      <c r="A61" s="26">
        <v>54</v>
      </c>
      <c r="B61" s="31" t="s">
        <v>282</v>
      </c>
      <c r="D61" s="30"/>
      <c r="E61" s="24"/>
      <c r="F61" s="25"/>
    </row>
    <row r="62" spans="1:6" x14ac:dyDescent="0.25">
      <c r="A62" s="26">
        <v>55</v>
      </c>
      <c r="B62" s="31" t="s">
        <v>283</v>
      </c>
      <c r="C62" s="26">
        <v>49</v>
      </c>
      <c r="D62" s="28" t="s">
        <v>211</v>
      </c>
      <c r="E62" s="24"/>
      <c r="F62" s="25"/>
    </row>
    <row r="63" spans="1:6" x14ac:dyDescent="0.25">
      <c r="A63" s="26">
        <v>56</v>
      </c>
      <c r="B63" s="31" t="s">
        <v>284</v>
      </c>
      <c r="C63" s="26">
        <v>50</v>
      </c>
      <c r="D63" s="34" t="s">
        <v>212</v>
      </c>
      <c r="E63" s="24"/>
      <c r="F63" s="25"/>
    </row>
    <row r="64" spans="1:6" ht="14.25" customHeight="1" x14ac:dyDescent="0.25">
      <c r="A64" s="26">
        <v>57</v>
      </c>
      <c r="B64" s="31" t="s">
        <v>285</v>
      </c>
      <c r="C64" s="26">
        <v>51</v>
      </c>
      <c r="D64" s="34" t="s">
        <v>5</v>
      </c>
      <c r="E64" s="24"/>
      <c r="F64" s="25"/>
    </row>
    <row r="65" spans="1:6" x14ac:dyDescent="0.25">
      <c r="A65" s="26">
        <v>58</v>
      </c>
      <c r="B65" s="31" t="s">
        <v>286</v>
      </c>
      <c r="C65" s="26">
        <v>52</v>
      </c>
      <c r="D65" s="34" t="s">
        <v>6</v>
      </c>
      <c r="E65" s="24"/>
      <c r="F65" s="25"/>
    </row>
    <row r="66" spans="1:6" x14ac:dyDescent="0.25">
      <c r="A66" s="26">
        <v>59</v>
      </c>
      <c r="B66" s="31" t="s">
        <v>287</v>
      </c>
      <c r="C66" s="26">
        <v>53</v>
      </c>
      <c r="D66" s="34" t="s">
        <v>7</v>
      </c>
      <c r="E66" s="24"/>
      <c r="F66" s="25"/>
    </row>
    <row r="67" spans="1:6" x14ac:dyDescent="0.25">
      <c r="A67" s="26"/>
      <c r="B67" s="31"/>
      <c r="D67" s="34"/>
      <c r="E67" s="24"/>
      <c r="F67" s="25"/>
    </row>
    <row r="68" spans="1:6" x14ac:dyDescent="0.25">
      <c r="A68" s="32"/>
      <c r="B68" s="27" t="s">
        <v>263</v>
      </c>
      <c r="C68" s="26">
        <v>54</v>
      </c>
      <c r="D68" s="28" t="s">
        <v>17</v>
      </c>
      <c r="E68" s="24"/>
      <c r="F68" s="25"/>
    </row>
    <row r="69" spans="1:6" x14ac:dyDescent="0.25">
      <c r="A69" s="32"/>
      <c r="B69" s="29"/>
      <c r="C69" s="26">
        <v>55</v>
      </c>
      <c r="D69" s="34" t="s">
        <v>18</v>
      </c>
      <c r="E69" s="24"/>
      <c r="F69" s="25"/>
    </row>
    <row r="70" spans="1:6" ht="12.75" customHeight="1" x14ac:dyDescent="0.25">
      <c r="A70" s="26">
        <v>60</v>
      </c>
      <c r="B70" s="33" t="s">
        <v>119</v>
      </c>
      <c r="C70" s="26">
        <v>56</v>
      </c>
      <c r="D70" s="30" t="s">
        <v>57</v>
      </c>
      <c r="E70" s="24"/>
      <c r="F70" s="25"/>
    </row>
    <row r="71" spans="1:6" ht="13.5" customHeight="1" x14ac:dyDescent="0.25">
      <c r="A71" s="32">
        <v>61</v>
      </c>
      <c r="B71" s="33" t="s">
        <v>120</v>
      </c>
      <c r="C71" s="26">
        <v>57</v>
      </c>
      <c r="D71" s="30" t="s">
        <v>58</v>
      </c>
      <c r="E71" s="24"/>
      <c r="F71" s="25"/>
    </row>
    <row r="72" spans="1:6" x14ac:dyDescent="0.25">
      <c r="A72" s="26">
        <v>62</v>
      </c>
      <c r="B72" s="33" t="s">
        <v>121</v>
      </c>
      <c r="D72" s="34"/>
      <c r="E72" s="24"/>
      <c r="F72" s="25"/>
    </row>
    <row r="73" spans="1:6" x14ac:dyDescent="0.25">
      <c r="A73" s="32">
        <v>63</v>
      </c>
      <c r="B73" s="33" t="s">
        <v>122</v>
      </c>
      <c r="C73" s="26">
        <v>58</v>
      </c>
      <c r="D73" s="28" t="s">
        <v>0</v>
      </c>
      <c r="E73" s="24"/>
      <c r="F73" s="25"/>
    </row>
    <row r="74" spans="1:6" x14ac:dyDescent="0.25">
      <c r="A74" s="26">
        <v>64</v>
      </c>
      <c r="B74" s="33" t="s">
        <v>123</v>
      </c>
      <c r="C74" s="26">
        <v>59</v>
      </c>
      <c r="D74" s="34" t="s">
        <v>1</v>
      </c>
      <c r="E74" s="24"/>
      <c r="F74" s="25"/>
    </row>
    <row r="75" spans="1:6" x14ac:dyDescent="0.25">
      <c r="A75" s="32">
        <v>65</v>
      </c>
      <c r="B75" s="33" t="s">
        <v>124</v>
      </c>
      <c r="C75" s="26">
        <v>60</v>
      </c>
      <c r="D75" s="34" t="s">
        <v>2</v>
      </c>
      <c r="E75" s="24"/>
      <c r="F75" s="25"/>
    </row>
    <row r="76" spans="1:6" x14ac:dyDescent="0.25">
      <c r="A76" s="26">
        <v>66</v>
      </c>
      <c r="B76" s="33" t="s">
        <v>125</v>
      </c>
      <c r="C76" s="26">
        <v>61</v>
      </c>
      <c r="D76" s="34" t="s">
        <v>3</v>
      </c>
      <c r="E76" s="24"/>
      <c r="F76" s="25"/>
    </row>
    <row r="77" spans="1:6" x14ac:dyDescent="0.25">
      <c r="A77" s="32">
        <v>67</v>
      </c>
      <c r="B77" s="33" t="s">
        <v>126</v>
      </c>
      <c r="C77" s="26">
        <v>62</v>
      </c>
      <c r="D77" s="34" t="s">
        <v>4</v>
      </c>
      <c r="E77" s="24"/>
      <c r="F77" s="25"/>
    </row>
    <row r="78" spans="1:6" x14ac:dyDescent="0.25">
      <c r="A78" s="26">
        <v>68</v>
      </c>
      <c r="B78" s="33" t="s">
        <v>127</v>
      </c>
      <c r="C78" s="26">
        <v>63</v>
      </c>
      <c r="D78" s="30" t="s">
        <v>41</v>
      </c>
      <c r="E78" s="24"/>
      <c r="F78" s="25"/>
    </row>
    <row r="79" spans="1:6" x14ac:dyDescent="0.25">
      <c r="A79" s="32">
        <v>69</v>
      </c>
      <c r="B79" s="33" t="s">
        <v>128</v>
      </c>
      <c r="C79" s="26">
        <v>64</v>
      </c>
      <c r="D79" s="34" t="s">
        <v>42</v>
      </c>
      <c r="E79" s="24"/>
      <c r="F79" s="25"/>
    </row>
    <row r="80" spans="1:6" x14ac:dyDescent="0.25">
      <c r="A80" s="26">
        <v>70</v>
      </c>
      <c r="B80" s="33" t="s">
        <v>129</v>
      </c>
      <c r="C80" s="26">
        <v>65</v>
      </c>
      <c r="D80" s="34" t="s">
        <v>47</v>
      </c>
      <c r="E80" s="24"/>
      <c r="F80" s="25"/>
    </row>
    <row r="81" spans="1:6" x14ac:dyDescent="0.25">
      <c r="A81" s="32">
        <v>71</v>
      </c>
      <c r="B81" s="33" t="s">
        <v>130</v>
      </c>
      <c r="C81" s="26">
        <v>66</v>
      </c>
      <c r="D81" s="34" t="s">
        <v>43</v>
      </c>
      <c r="E81" s="24"/>
      <c r="F81" s="25"/>
    </row>
    <row r="82" spans="1:6" ht="12" customHeight="1" x14ac:dyDescent="0.25">
      <c r="A82" s="26">
        <v>72</v>
      </c>
      <c r="B82" s="33" t="s">
        <v>131</v>
      </c>
      <c r="C82" s="26">
        <v>67</v>
      </c>
      <c r="D82" s="34" t="s">
        <v>44</v>
      </c>
      <c r="E82" s="24"/>
      <c r="F82" s="25"/>
    </row>
    <row r="83" spans="1:6" ht="12.75" customHeight="1" x14ac:dyDescent="0.25">
      <c r="A83" s="32">
        <v>73</v>
      </c>
      <c r="B83" s="33" t="s">
        <v>132</v>
      </c>
      <c r="C83" s="26">
        <v>68</v>
      </c>
      <c r="D83" s="34" t="s">
        <v>45</v>
      </c>
      <c r="E83" s="24"/>
      <c r="F83" s="25"/>
    </row>
    <row r="84" spans="1:6" x14ac:dyDescent="0.25">
      <c r="A84" s="26">
        <v>74</v>
      </c>
      <c r="B84" s="33" t="s">
        <v>133</v>
      </c>
      <c r="C84" s="26">
        <v>69</v>
      </c>
      <c r="D84" s="34" t="s">
        <v>46</v>
      </c>
      <c r="E84" s="24"/>
      <c r="F84" s="25"/>
    </row>
    <row r="85" spans="1:6" x14ac:dyDescent="0.25">
      <c r="A85" s="32">
        <v>75</v>
      </c>
      <c r="B85" s="33" t="s">
        <v>134</v>
      </c>
      <c r="C85" s="26">
        <v>70</v>
      </c>
      <c r="D85" s="30" t="s">
        <v>49</v>
      </c>
      <c r="E85" s="24"/>
      <c r="F85" s="25"/>
    </row>
    <row r="86" spans="1:6" x14ac:dyDescent="0.25">
      <c r="A86" s="26">
        <v>76</v>
      </c>
      <c r="B86" s="33" t="s">
        <v>135</v>
      </c>
      <c r="C86" s="26">
        <v>71</v>
      </c>
      <c r="D86" s="30" t="s">
        <v>50</v>
      </c>
      <c r="E86" s="24"/>
      <c r="F86" s="25"/>
    </row>
    <row r="87" spans="1:6" x14ac:dyDescent="0.25">
      <c r="A87" s="32">
        <v>77</v>
      </c>
      <c r="B87" s="33" t="s">
        <v>136</v>
      </c>
      <c r="C87" s="26">
        <v>72</v>
      </c>
      <c r="D87" s="30" t="s">
        <v>63</v>
      </c>
      <c r="E87" s="24"/>
      <c r="F87" s="25"/>
    </row>
    <row r="88" spans="1:6" x14ac:dyDescent="0.25">
      <c r="A88" s="26"/>
      <c r="B88" s="35"/>
      <c r="C88" s="26">
        <v>73</v>
      </c>
      <c r="D88" s="30" t="s">
        <v>62</v>
      </c>
      <c r="E88" s="24"/>
      <c r="F88" s="25"/>
    </row>
    <row r="89" spans="1:6" x14ac:dyDescent="0.25">
      <c r="A89" s="26"/>
      <c r="B89" s="27" t="s">
        <v>264</v>
      </c>
      <c r="C89" s="26">
        <v>74</v>
      </c>
      <c r="D89" s="30" t="s">
        <v>61</v>
      </c>
      <c r="E89" s="24"/>
      <c r="F89" s="25"/>
    </row>
    <row r="90" spans="1:6" x14ac:dyDescent="0.25">
      <c r="A90" s="26"/>
      <c r="B90" s="27"/>
      <c r="C90" s="26">
        <v>75</v>
      </c>
      <c r="D90" s="30" t="s">
        <v>60</v>
      </c>
      <c r="E90" s="24"/>
      <c r="F90" s="25"/>
    </row>
    <row r="91" spans="1:6" x14ac:dyDescent="0.25">
      <c r="A91" s="26">
        <v>78</v>
      </c>
      <c r="B91" s="33" t="s">
        <v>288</v>
      </c>
      <c r="C91" s="26">
        <v>76</v>
      </c>
      <c r="D91" s="30" t="s">
        <v>59</v>
      </c>
      <c r="E91" s="24"/>
      <c r="F91" s="25"/>
    </row>
    <row r="92" spans="1:6" x14ac:dyDescent="0.25">
      <c r="A92" s="26">
        <v>79</v>
      </c>
      <c r="B92" s="33" t="s">
        <v>289</v>
      </c>
      <c r="C92" s="26"/>
      <c r="D92" s="30"/>
      <c r="E92" s="24"/>
      <c r="F92" s="25"/>
    </row>
    <row r="93" spans="1:6" ht="14.25" customHeight="1" x14ac:dyDescent="0.25">
      <c r="A93" s="26">
        <v>80</v>
      </c>
      <c r="B93" s="33" t="s">
        <v>290</v>
      </c>
      <c r="C93" s="26">
        <v>77</v>
      </c>
      <c r="D93" s="28" t="s">
        <v>213</v>
      </c>
      <c r="E93" s="24"/>
      <c r="F93" s="25"/>
    </row>
    <row r="94" spans="1:6" x14ac:dyDescent="0.25">
      <c r="A94" s="26">
        <v>81</v>
      </c>
      <c r="B94" s="33" t="s">
        <v>291</v>
      </c>
      <c r="C94" s="26">
        <v>78</v>
      </c>
      <c r="D94" s="34" t="s">
        <v>214</v>
      </c>
      <c r="E94" s="24"/>
      <c r="F94" s="25"/>
    </row>
    <row r="95" spans="1:6" x14ac:dyDescent="0.25">
      <c r="A95" s="26">
        <v>82</v>
      </c>
      <c r="B95" s="33" t="s">
        <v>137</v>
      </c>
      <c r="C95" s="26">
        <v>79</v>
      </c>
      <c r="D95" s="34" t="s">
        <v>215</v>
      </c>
      <c r="E95" s="24"/>
      <c r="F95" s="25"/>
    </row>
    <row r="96" spans="1:6" ht="26.4" x14ac:dyDescent="0.25">
      <c r="A96" s="26">
        <v>83</v>
      </c>
      <c r="B96" s="33" t="s">
        <v>138</v>
      </c>
      <c r="C96" s="26">
        <v>80</v>
      </c>
      <c r="D96" s="34" t="s">
        <v>216</v>
      </c>
      <c r="E96" s="24"/>
      <c r="F96" s="25"/>
    </row>
    <row r="97" spans="1:6" x14ac:dyDescent="0.25">
      <c r="A97" s="26">
        <v>84</v>
      </c>
      <c r="B97" s="33" t="s">
        <v>139</v>
      </c>
      <c r="C97" s="26">
        <v>81</v>
      </c>
      <c r="D97" s="34" t="s">
        <v>217</v>
      </c>
      <c r="E97" s="24"/>
      <c r="F97" s="25"/>
    </row>
    <row r="98" spans="1:6" x14ac:dyDescent="0.25">
      <c r="A98" s="26">
        <v>85</v>
      </c>
      <c r="B98" s="33" t="s">
        <v>140</v>
      </c>
      <c r="D98" s="34"/>
      <c r="E98" s="24"/>
      <c r="F98" s="25"/>
    </row>
    <row r="99" spans="1:6" x14ac:dyDescent="0.25">
      <c r="A99" s="26">
        <v>86</v>
      </c>
      <c r="B99" s="33" t="s">
        <v>141</v>
      </c>
      <c r="C99" s="26">
        <v>82</v>
      </c>
      <c r="D99" s="28" t="s">
        <v>15</v>
      </c>
      <c r="E99" s="24"/>
      <c r="F99" s="25"/>
    </row>
    <row r="100" spans="1:6" x14ac:dyDescent="0.25">
      <c r="A100" s="26">
        <v>87</v>
      </c>
      <c r="B100" s="33" t="s">
        <v>142</v>
      </c>
      <c r="C100" s="26">
        <v>83</v>
      </c>
      <c r="D100" s="34" t="s">
        <v>218</v>
      </c>
      <c r="E100" s="24"/>
      <c r="F100" s="25"/>
    </row>
    <row r="101" spans="1:6" x14ac:dyDescent="0.25">
      <c r="A101" s="26">
        <v>88</v>
      </c>
      <c r="B101" s="33" t="s">
        <v>143</v>
      </c>
      <c r="C101" s="26">
        <v>84</v>
      </c>
      <c r="D101" s="34" t="s">
        <v>219</v>
      </c>
      <c r="E101" s="24"/>
      <c r="F101" s="25"/>
    </row>
    <row r="102" spans="1:6" ht="26.4" x14ac:dyDescent="0.25">
      <c r="A102" s="26">
        <v>89</v>
      </c>
      <c r="B102" s="33" t="s">
        <v>144</v>
      </c>
      <c r="C102" s="26">
        <v>85</v>
      </c>
      <c r="D102" s="34" t="s">
        <v>220</v>
      </c>
      <c r="E102" s="24"/>
      <c r="F102" s="25"/>
    </row>
    <row r="103" spans="1:6" x14ac:dyDescent="0.25">
      <c r="A103" s="26">
        <v>90</v>
      </c>
      <c r="B103" s="33" t="s">
        <v>145</v>
      </c>
      <c r="C103" s="26">
        <v>86</v>
      </c>
      <c r="D103" s="34" t="s">
        <v>221</v>
      </c>
      <c r="E103" s="24"/>
      <c r="F103" s="25"/>
    </row>
    <row r="104" spans="1:6" x14ac:dyDescent="0.25">
      <c r="A104" s="26">
        <v>91</v>
      </c>
      <c r="B104" s="33" t="s">
        <v>146</v>
      </c>
      <c r="C104" s="26">
        <v>87</v>
      </c>
      <c r="D104" s="30" t="s">
        <v>222</v>
      </c>
      <c r="E104" s="24"/>
      <c r="F104" s="25"/>
    </row>
    <row r="105" spans="1:6" x14ac:dyDescent="0.25">
      <c r="A105" s="26">
        <v>92</v>
      </c>
      <c r="B105" s="33" t="s">
        <v>147</v>
      </c>
      <c r="C105" s="26">
        <v>88</v>
      </c>
      <c r="D105" s="34" t="s">
        <v>223</v>
      </c>
      <c r="E105" s="24"/>
      <c r="F105" s="25"/>
    </row>
    <row r="106" spans="1:6" x14ac:dyDescent="0.25">
      <c r="A106" s="26">
        <v>93</v>
      </c>
      <c r="B106" s="33" t="s">
        <v>148</v>
      </c>
      <c r="C106" s="26">
        <v>89</v>
      </c>
      <c r="D106" s="34" t="s">
        <v>47</v>
      </c>
      <c r="E106" s="24"/>
      <c r="F106" s="25"/>
    </row>
    <row r="107" spans="1:6" x14ac:dyDescent="0.25">
      <c r="A107" s="26">
        <v>94</v>
      </c>
      <c r="B107" s="33" t="s">
        <v>149</v>
      </c>
      <c r="C107" s="26">
        <v>90</v>
      </c>
      <c r="D107" s="34" t="s">
        <v>16</v>
      </c>
      <c r="E107" s="24"/>
      <c r="F107" s="25"/>
    </row>
    <row r="108" spans="1:6" x14ac:dyDescent="0.25">
      <c r="A108" s="26">
        <v>95</v>
      </c>
      <c r="B108" s="33" t="s">
        <v>150</v>
      </c>
      <c r="C108" s="26">
        <v>91</v>
      </c>
      <c r="D108" s="34" t="s">
        <v>19</v>
      </c>
      <c r="E108" s="24"/>
      <c r="F108" s="25"/>
    </row>
    <row r="109" spans="1:6" x14ac:dyDescent="0.25">
      <c r="A109" s="26">
        <v>96</v>
      </c>
      <c r="B109" s="33" t="s">
        <v>151</v>
      </c>
      <c r="C109" s="26">
        <v>92</v>
      </c>
      <c r="D109" s="34" t="s">
        <v>224</v>
      </c>
      <c r="E109" s="24"/>
      <c r="F109" s="25"/>
    </row>
    <row r="110" spans="1:6" x14ac:dyDescent="0.25">
      <c r="A110" s="26">
        <v>97</v>
      </c>
      <c r="B110" s="33" t="s">
        <v>152</v>
      </c>
      <c r="C110" s="26">
        <v>93</v>
      </c>
      <c r="D110" s="34" t="s">
        <v>225</v>
      </c>
      <c r="E110" s="24"/>
      <c r="F110" s="25"/>
    </row>
    <row r="111" spans="1:6" x14ac:dyDescent="0.25">
      <c r="A111" s="26">
        <v>98</v>
      </c>
      <c r="B111" s="33" t="s">
        <v>153</v>
      </c>
      <c r="C111" s="26">
        <v>94</v>
      </c>
      <c r="D111" s="30" t="s">
        <v>51</v>
      </c>
      <c r="E111" s="24"/>
      <c r="F111" s="25"/>
    </row>
    <row r="112" spans="1:6" x14ac:dyDescent="0.25">
      <c r="A112" s="26">
        <v>99</v>
      </c>
      <c r="B112" s="33" t="s">
        <v>154</v>
      </c>
      <c r="C112" s="26">
        <v>95</v>
      </c>
      <c r="D112" s="30" t="s">
        <v>52</v>
      </c>
      <c r="E112" s="24"/>
      <c r="F112" s="25"/>
    </row>
    <row r="113" spans="1:6" x14ac:dyDescent="0.25">
      <c r="A113" s="26">
        <v>100</v>
      </c>
      <c r="B113" s="33" t="s">
        <v>155</v>
      </c>
      <c r="C113" s="26">
        <v>96</v>
      </c>
      <c r="D113" s="30" t="s">
        <v>64</v>
      </c>
      <c r="E113" s="24"/>
      <c r="F113" s="25"/>
    </row>
    <row r="114" spans="1:6" x14ac:dyDescent="0.25">
      <c r="A114" s="26">
        <v>101</v>
      </c>
      <c r="B114" s="33" t="s">
        <v>156</v>
      </c>
      <c r="C114" s="26">
        <v>97</v>
      </c>
      <c r="D114" s="30" t="s">
        <v>65</v>
      </c>
      <c r="E114" s="24"/>
      <c r="F114" s="25"/>
    </row>
    <row r="115" spans="1:6" x14ac:dyDescent="0.25">
      <c r="A115" s="26">
        <v>102</v>
      </c>
      <c r="B115" s="33" t="s">
        <v>292</v>
      </c>
      <c r="C115" s="26">
        <v>98</v>
      </c>
      <c r="D115" s="30" t="s">
        <v>66</v>
      </c>
      <c r="E115" s="24"/>
      <c r="F115" s="25"/>
    </row>
    <row r="116" spans="1:6" x14ac:dyDescent="0.25">
      <c r="A116" s="26">
        <v>103</v>
      </c>
      <c r="B116" s="33" t="s">
        <v>293</v>
      </c>
      <c r="C116" s="26">
        <v>99</v>
      </c>
      <c r="D116" s="30" t="s">
        <v>67</v>
      </c>
      <c r="E116" s="24"/>
      <c r="F116" s="25"/>
    </row>
    <row r="117" spans="1:6" x14ac:dyDescent="0.25">
      <c r="A117" s="26">
        <v>104</v>
      </c>
      <c r="B117" s="33" t="s">
        <v>294</v>
      </c>
      <c r="C117" s="26">
        <v>100</v>
      </c>
      <c r="D117" s="30" t="s">
        <v>68</v>
      </c>
      <c r="E117" s="24"/>
      <c r="F117" s="25"/>
    </row>
    <row r="118" spans="1:6" x14ac:dyDescent="0.25">
      <c r="A118" s="26"/>
      <c r="B118" s="31"/>
      <c r="D118" s="34"/>
      <c r="E118" s="24"/>
      <c r="F118" s="25"/>
    </row>
    <row r="119" spans="1:6" x14ac:dyDescent="0.25">
      <c r="A119" s="26"/>
      <c r="B119" s="27" t="s">
        <v>265</v>
      </c>
      <c r="C119" s="26">
        <v>101</v>
      </c>
      <c r="D119" s="28" t="s">
        <v>36</v>
      </c>
      <c r="E119" s="24"/>
      <c r="F119" s="25"/>
    </row>
    <row r="120" spans="1:6" x14ac:dyDescent="0.25">
      <c r="A120" s="26"/>
      <c r="B120" s="31"/>
      <c r="C120" s="26">
        <v>102</v>
      </c>
      <c r="D120" s="30" t="s">
        <v>20</v>
      </c>
      <c r="E120" s="24"/>
      <c r="F120" s="25"/>
    </row>
    <row r="121" spans="1:6" x14ac:dyDescent="0.25">
      <c r="A121" s="26">
        <v>105</v>
      </c>
      <c r="B121" s="38" t="s">
        <v>236</v>
      </c>
      <c r="C121" s="26">
        <v>103</v>
      </c>
      <c r="D121" s="34" t="s">
        <v>21</v>
      </c>
      <c r="E121" s="24"/>
      <c r="F121" s="25"/>
    </row>
    <row r="122" spans="1:6" x14ac:dyDescent="0.25">
      <c r="A122" s="26">
        <v>106</v>
      </c>
      <c r="B122" s="38" t="s">
        <v>237</v>
      </c>
      <c r="C122" s="26">
        <v>104</v>
      </c>
      <c r="D122" s="34" t="s">
        <v>22</v>
      </c>
      <c r="E122" s="24"/>
      <c r="F122" s="25"/>
    </row>
    <row r="123" spans="1:6" x14ac:dyDescent="0.25">
      <c r="A123" s="26">
        <v>107</v>
      </c>
      <c r="B123" s="38" t="s">
        <v>238</v>
      </c>
      <c r="C123" s="26">
        <v>105</v>
      </c>
      <c r="D123" s="30" t="s">
        <v>23</v>
      </c>
      <c r="E123" s="24"/>
      <c r="F123" s="25"/>
    </row>
    <row r="124" spans="1:6" x14ac:dyDescent="0.25">
      <c r="A124" s="26">
        <v>108</v>
      </c>
      <c r="B124" s="38" t="s">
        <v>239</v>
      </c>
      <c r="C124" s="26">
        <v>106</v>
      </c>
      <c r="D124" s="34" t="s">
        <v>24</v>
      </c>
      <c r="E124" s="24"/>
      <c r="F124" s="25"/>
    </row>
    <row r="125" spans="1:6" x14ac:dyDescent="0.25">
      <c r="A125" s="26">
        <v>109</v>
      </c>
      <c r="B125" s="38" t="s">
        <v>240</v>
      </c>
      <c r="C125" s="26">
        <v>107</v>
      </c>
      <c r="D125" s="34" t="s">
        <v>25</v>
      </c>
      <c r="E125" s="24"/>
      <c r="F125" s="25"/>
    </row>
    <row r="126" spans="1:6" x14ac:dyDescent="0.25">
      <c r="A126" s="26">
        <v>110</v>
      </c>
      <c r="B126" s="38" t="s">
        <v>241</v>
      </c>
      <c r="C126" s="26">
        <v>108</v>
      </c>
      <c r="D126" s="34" t="s">
        <v>26</v>
      </c>
      <c r="E126" s="24"/>
      <c r="F126" s="25"/>
    </row>
    <row r="127" spans="1:6" x14ac:dyDescent="0.25">
      <c r="A127" s="26">
        <v>111</v>
      </c>
      <c r="B127" s="38" t="s">
        <v>242</v>
      </c>
      <c r="C127" s="26">
        <v>109</v>
      </c>
      <c r="D127" s="34" t="s">
        <v>27</v>
      </c>
      <c r="E127" s="24"/>
      <c r="F127" s="25"/>
    </row>
    <row r="128" spans="1:6" ht="12.75" customHeight="1" x14ac:dyDescent="0.25">
      <c r="A128" s="26">
        <v>112</v>
      </c>
      <c r="B128" s="38" t="s">
        <v>243</v>
      </c>
      <c r="C128" s="26">
        <v>110</v>
      </c>
      <c r="D128" s="34" t="s">
        <v>28</v>
      </c>
      <c r="E128" s="24"/>
      <c r="F128" s="25"/>
    </row>
    <row r="129" spans="1:6" x14ac:dyDescent="0.25">
      <c r="A129" s="26">
        <v>113</v>
      </c>
      <c r="B129" s="38" t="s">
        <v>244</v>
      </c>
      <c r="C129" s="26">
        <v>111</v>
      </c>
      <c r="D129" s="34" t="s">
        <v>29</v>
      </c>
      <c r="E129" s="24"/>
      <c r="F129" s="25"/>
    </row>
    <row r="130" spans="1:6" x14ac:dyDescent="0.25">
      <c r="A130" s="26">
        <v>114</v>
      </c>
      <c r="B130" s="38" t="s">
        <v>245</v>
      </c>
      <c r="C130" s="26">
        <v>112</v>
      </c>
      <c r="D130" s="30" t="s">
        <v>30</v>
      </c>
      <c r="E130" s="24"/>
      <c r="F130" s="25"/>
    </row>
    <row r="131" spans="1:6" x14ac:dyDescent="0.25">
      <c r="A131" s="26">
        <v>115</v>
      </c>
      <c r="B131" s="38" t="s">
        <v>246</v>
      </c>
      <c r="C131" s="26">
        <v>113</v>
      </c>
      <c r="D131" s="34" t="s">
        <v>31</v>
      </c>
      <c r="E131" s="24"/>
      <c r="F131" s="25"/>
    </row>
    <row r="132" spans="1:6" x14ac:dyDescent="0.25">
      <c r="A132" s="26">
        <v>116</v>
      </c>
      <c r="B132" s="38" t="s">
        <v>247</v>
      </c>
      <c r="C132" s="26">
        <v>114</v>
      </c>
      <c r="D132" s="34" t="s">
        <v>32</v>
      </c>
      <c r="E132" s="24"/>
      <c r="F132" s="25"/>
    </row>
    <row r="133" spans="1:6" x14ac:dyDescent="0.25">
      <c r="A133" s="26">
        <v>117</v>
      </c>
      <c r="B133" s="38" t="s">
        <v>248</v>
      </c>
      <c r="C133" s="26">
        <v>115</v>
      </c>
      <c r="D133" s="34" t="s">
        <v>33</v>
      </c>
      <c r="E133" s="24"/>
      <c r="F133" s="25"/>
    </row>
    <row r="134" spans="1:6" x14ac:dyDescent="0.25">
      <c r="A134" s="26">
        <v>118</v>
      </c>
      <c r="B134" s="33" t="s">
        <v>249</v>
      </c>
      <c r="C134" s="26">
        <v>116</v>
      </c>
      <c r="D134" s="34" t="s">
        <v>34</v>
      </c>
      <c r="E134" s="24"/>
      <c r="F134" s="25"/>
    </row>
    <row r="135" spans="1:6" ht="26.4" x14ac:dyDescent="0.25">
      <c r="A135" s="36"/>
      <c r="B135" s="37"/>
      <c r="C135" s="26">
        <v>117</v>
      </c>
      <c r="D135" s="34" t="s">
        <v>35</v>
      </c>
      <c r="E135" s="24"/>
      <c r="F135" s="25"/>
    </row>
    <row r="136" spans="1:6" x14ac:dyDescent="0.25">
      <c r="A136" s="36"/>
      <c r="B136" s="39" t="s">
        <v>266</v>
      </c>
      <c r="C136" s="26">
        <v>118</v>
      </c>
      <c r="D136" s="30" t="s">
        <v>53</v>
      </c>
      <c r="E136" s="24"/>
      <c r="F136" s="25"/>
    </row>
    <row r="137" spans="1:6" x14ac:dyDescent="0.25">
      <c r="A137" s="36"/>
      <c r="B137" s="37"/>
      <c r="C137" s="26">
        <v>119</v>
      </c>
      <c r="D137" s="30" t="s">
        <v>54</v>
      </c>
      <c r="E137" s="24"/>
      <c r="F137" s="25"/>
    </row>
    <row r="138" spans="1:6" x14ac:dyDescent="0.25">
      <c r="A138" s="26">
        <v>119</v>
      </c>
      <c r="B138" s="37" t="s">
        <v>267</v>
      </c>
      <c r="C138" s="26">
        <v>120</v>
      </c>
      <c r="D138" s="30" t="s">
        <v>55</v>
      </c>
      <c r="E138" s="24"/>
      <c r="F138" s="25"/>
    </row>
    <row r="139" spans="1:6" x14ac:dyDescent="0.25">
      <c r="A139" s="26">
        <v>120</v>
      </c>
      <c r="B139" s="31" t="s">
        <v>157</v>
      </c>
      <c r="C139" s="26">
        <v>121</v>
      </c>
      <c r="D139" s="30" t="s">
        <v>56</v>
      </c>
      <c r="E139" s="24"/>
      <c r="F139" s="25"/>
    </row>
    <row r="140" spans="1:6" x14ac:dyDescent="0.25">
      <c r="A140" s="26">
        <v>121</v>
      </c>
      <c r="B140" s="31" t="s">
        <v>158</v>
      </c>
      <c r="C140" s="26">
        <v>122</v>
      </c>
      <c r="D140" s="30" t="s">
        <v>69</v>
      </c>
      <c r="E140" s="24"/>
      <c r="F140" s="25"/>
    </row>
    <row r="141" spans="1:6" x14ac:dyDescent="0.25">
      <c r="A141" s="26">
        <v>122</v>
      </c>
      <c r="B141" s="31" t="s">
        <v>159</v>
      </c>
      <c r="C141" s="26">
        <v>123</v>
      </c>
      <c r="D141" s="30" t="s">
        <v>70</v>
      </c>
      <c r="E141" s="24"/>
      <c r="F141" s="25"/>
    </row>
    <row r="142" spans="1:6" x14ac:dyDescent="0.25">
      <c r="A142" s="26">
        <v>123</v>
      </c>
      <c r="B142" s="33" t="s">
        <v>160</v>
      </c>
      <c r="C142" s="26">
        <v>124</v>
      </c>
      <c r="D142" s="30" t="s">
        <v>71</v>
      </c>
      <c r="E142" s="24"/>
      <c r="F142" s="25"/>
    </row>
    <row r="143" spans="1:6" x14ac:dyDescent="0.25">
      <c r="A143" s="26">
        <v>124</v>
      </c>
      <c r="B143" s="33" t="s">
        <v>161</v>
      </c>
      <c r="C143" s="26">
        <v>125</v>
      </c>
      <c r="D143" s="30" t="s">
        <v>72</v>
      </c>
      <c r="E143" s="24"/>
      <c r="F143" s="25"/>
    </row>
    <row r="144" spans="1:6" x14ac:dyDescent="0.25">
      <c r="A144" s="26">
        <v>125</v>
      </c>
      <c r="B144" s="33" t="s">
        <v>162</v>
      </c>
      <c r="C144" s="26">
        <v>126</v>
      </c>
      <c r="D144" s="30" t="s">
        <v>73</v>
      </c>
      <c r="E144" s="24"/>
      <c r="F144" s="25"/>
    </row>
    <row r="145" spans="1:6" x14ac:dyDescent="0.25">
      <c r="A145" s="26">
        <v>126</v>
      </c>
      <c r="B145" s="33" t="s">
        <v>163</v>
      </c>
      <c r="C145" s="26">
        <v>127</v>
      </c>
      <c r="D145" s="30" t="s">
        <v>74</v>
      </c>
      <c r="E145" s="24"/>
      <c r="F145" s="25"/>
    </row>
    <row r="146" spans="1:6" x14ac:dyDescent="0.25">
      <c r="A146" s="26">
        <v>127</v>
      </c>
      <c r="B146" s="33" t="s">
        <v>164</v>
      </c>
      <c r="C146" s="26">
        <v>128</v>
      </c>
      <c r="D146" s="30" t="s">
        <v>75</v>
      </c>
      <c r="E146" s="24"/>
      <c r="F146" s="25"/>
    </row>
    <row r="147" spans="1:6" x14ac:dyDescent="0.25">
      <c r="A147" s="26">
        <v>128</v>
      </c>
      <c r="B147" s="33" t="s">
        <v>165</v>
      </c>
      <c r="C147" s="26">
        <v>129</v>
      </c>
      <c r="D147" s="30" t="s">
        <v>76</v>
      </c>
      <c r="E147" s="24"/>
      <c r="F147" s="25"/>
    </row>
    <row r="148" spans="1:6" x14ac:dyDescent="0.25">
      <c r="A148" s="26">
        <v>129</v>
      </c>
      <c r="B148" s="33" t="s">
        <v>166</v>
      </c>
      <c r="C148" s="26">
        <v>130</v>
      </c>
      <c r="D148" s="30" t="s">
        <v>77</v>
      </c>
      <c r="E148" s="24"/>
      <c r="F148" s="25"/>
    </row>
    <row r="149" spans="1:6" x14ac:dyDescent="0.25">
      <c r="A149" s="26">
        <v>130</v>
      </c>
      <c r="B149" s="31" t="s">
        <v>167</v>
      </c>
      <c r="C149" s="26">
        <v>131</v>
      </c>
      <c r="D149" s="30" t="s">
        <v>78</v>
      </c>
      <c r="E149" s="24"/>
      <c r="F149" s="25"/>
    </row>
    <row r="150" spans="1:6" x14ac:dyDescent="0.25">
      <c r="A150" s="26">
        <v>131</v>
      </c>
      <c r="B150" s="31" t="s">
        <v>168</v>
      </c>
      <c r="C150" s="26">
        <v>132</v>
      </c>
      <c r="D150" s="30" t="s">
        <v>79</v>
      </c>
      <c r="E150" s="24"/>
      <c r="F150" s="25"/>
    </row>
    <row r="151" spans="1:6" x14ac:dyDescent="0.25">
      <c r="A151" s="26">
        <v>132</v>
      </c>
      <c r="B151" s="31" t="s">
        <v>169</v>
      </c>
      <c r="C151" s="26">
        <v>133</v>
      </c>
      <c r="D151" s="30" t="s">
        <v>80</v>
      </c>
      <c r="E151" s="24"/>
      <c r="F151" s="25"/>
    </row>
    <row r="152" spans="1:6" x14ac:dyDescent="0.25">
      <c r="A152" s="36"/>
      <c r="D152" s="34"/>
      <c r="E152" s="24"/>
      <c r="F152" s="25"/>
    </row>
    <row r="153" spans="1:6" ht="26.4" x14ac:dyDescent="0.25">
      <c r="A153" s="36"/>
      <c r="C153" s="26">
        <v>134</v>
      </c>
      <c r="D153" s="28" t="s">
        <v>37</v>
      </c>
      <c r="E153" s="24"/>
      <c r="F153" s="25"/>
    </row>
    <row r="154" spans="1:6" ht="26.4" x14ac:dyDescent="0.25">
      <c r="A154" s="36"/>
      <c r="C154" s="26">
        <v>135</v>
      </c>
      <c r="D154" s="34" t="s">
        <v>38</v>
      </c>
      <c r="E154" s="24"/>
      <c r="F154" s="25"/>
    </row>
    <row r="155" spans="1:6" x14ac:dyDescent="0.25">
      <c r="A155" s="36"/>
      <c r="B155" s="37"/>
      <c r="C155" s="26">
        <v>136</v>
      </c>
      <c r="D155" s="34" t="s">
        <v>40</v>
      </c>
      <c r="E155" s="24"/>
      <c r="F155" s="25"/>
    </row>
    <row r="156" spans="1:6" x14ac:dyDescent="0.25">
      <c r="A156" s="36"/>
      <c r="B156" s="37"/>
      <c r="C156" s="26">
        <v>137</v>
      </c>
      <c r="D156" s="34" t="s">
        <v>39</v>
      </c>
      <c r="E156" s="24"/>
      <c r="F156" s="25"/>
    </row>
    <row r="157" spans="1:6" x14ac:dyDescent="0.25">
      <c r="A157" s="36"/>
      <c r="B157" s="37"/>
      <c r="D157" s="34"/>
      <c r="E157" s="24"/>
      <c r="F157" s="25"/>
    </row>
    <row r="158" spans="1:6" x14ac:dyDescent="0.25">
      <c r="A158" s="36"/>
      <c r="B158" s="37"/>
      <c r="C158" s="26">
        <v>139</v>
      </c>
      <c r="D158" s="34" t="s">
        <v>226</v>
      </c>
      <c r="E158" s="24"/>
      <c r="F158" s="25"/>
    </row>
    <row r="159" spans="1:6" x14ac:dyDescent="0.25">
      <c r="A159" s="36"/>
      <c r="B159" s="37"/>
      <c r="C159" s="26">
        <v>140</v>
      </c>
      <c r="D159" s="34" t="s">
        <v>227</v>
      </c>
      <c r="E159" s="24"/>
      <c r="F159" s="25"/>
    </row>
    <row r="160" spans="1:6" x14ac:dyDescent="0.25">
      <c r="A160" s="36"/>
      <c r="B160" s="37"/>
      <c r="C160" s="26">
        <v>141</v>
      </c>
      <c r="D160" s="34" t="s">
        <v>228</v>
      </c>
      <c r="E160" s="24"/>
      <c r="F160" s="25"/>
    </row>
    <row r="161" spans="1:6" x14ac:dyDescent="0.25">
      <c r="A161" s="36"/>
      <c r="B161" s="37"/>
      <c r="C161" s="26">
        <v>142</v>
      </c>
      <c r="D161" s="34" t="s">
        <v>229</v>
      </c>
      <c r="E161" s="24"/>
      <c r="F161" s="25"/>
    </row>
    <row r="162" spans="1:6" x14ac:dyDescent="0.25">
      <c r="A162" s="36"/>
      <c r="B162" s="37"/>
      <c r="C162" s="26">
        <v>143</v>
      </c>
      <c r="D162" s="34" t="s">
        <v>230</v>
      </c>
      <c r="E162" s="24"/>
      <c r="F162" s="25"/>
    </row>
    <row r="163" spans="1:6" x14ac:dyDescent="0.25">
      <c r="A163" s="36"/>
      <c r="B163" s="37"/>
      <c r="C163" s="26">
        <v>144</v>
      </c>
      <c r="D163" s="34" t="s">
        <v>231</v>
      </c>
      <c r="E163" s="24"/>
      <c r="F163" s="25"/>
    </row>
    <row r="164" spans="1:6" x14ac:dyDescent="0.25">
      <c r="A164" s="40"/>
      <c r="B164" s="41"/>
      <c r="C164" s="42"/>
      <c r="D164" s="43"/>
      <c r="E164" s="44"/>
      <c r="F164" s="45"/>
    </row>
    <row r="215" spans="11:12" ht="14.25" customHeight="1" x14ac:dyDescent="0.25"/>
    <row r="216" spans="11:12" ht="14.25" customHeight="1" x14ac:dyDescent="0.25"/>
    <row r="220" spans="11:12" x14ac:dyDescent="0.25">
      <c r="K220" s="9"/>
      <c r="L220" s="9"/>
    </row>
    <row r="274" spans="2:12" x14ac:dyDescent="0.25">
      <c r="L274" s="8"/>
    </row>
    <row r="275" spans="2:12" x14ac:dyDescent="0.25">
      <c r="H275" s="2"/>
    </row>
    <row r="276" spans="2:12" x14ac:dyDescent="0.25">
      <c r="H276" s="3"/>
    </row>
    <row r="277" spans="2:12" x14ac:dyDescent="0.25">
      <c r="H277" s="3"/>
    </row>
    <row r="278" spans="2:12" x14ac:dyDescent="0.25">
      <c r="H278" s="3"/>
    </row>
    <row r="279" spans="2:12" x14ac:dyDescent="0.25">
      <c r="H279" s="3"/>
    </row>
    <row r="280" spans="2:12" x14ac:dyDescent="0.25">
      <c r="H280" s="3"/>
    </row>
    <row r="281" spans="2:12" x14ac:dyDescent="0.25">
      <c r="H281" s="3"/>
    </row>
    <row r="282" spans="2:12" x14ac:dyDescent="0.25">
      <c r="H282" s="3"/>
    </row>
    <row r="283" spans="2:12" x14ac:dyDescent="0.25">
      <c r="H283" s="3"/>
    </row>
    <row r="284" spans="2:12" x14ac:dyDescent="0.25">
      <c r="H284" s="3"/>
    </row>
    <row r="285" spans="2:12" x14ac:dyDescent="0.25">
      <c r="H285" s="3"/>
    </row>
    <row r="286" spans="2:12" x14ac:dyDescent="0.25">
      <c r="H286" s="3"/>
    </row>
    <row r="288" spans="2:12" x14ac:dyDescent="0.25">
      <c r="B288" s="13"/>
      <c r="H288" s="4"/>
      <c r="I288" s="5"/>
    </row>
    <row r="289" spans="8:10" x14ac:dyDescent="0.25">
      <c r="H289" s="5"/>
      <c r="I289" s="5"/>
    </row>
    <row r="290" spans="8:10" x14ac:dyDescent="0.25">
      <c r="H290" s="5"/>
      <c r="I290" s="6"/>
    </row>
    <row r="291" spans="8:10" x14ac:dyDescent="0.25">
      <c r="H291" s="5"/>
      <c r="I291" s="6"/>
    </row>
    <row r="292" spans="8:10" x14ac:dyDescent="0.25">
      <c r="H292" s="5"/>
      <c r="I292" s="6"/>
    </row>
    <row r="293" spans="8:10" x14ac:dyDescent="0.25">
      <c r="H293" s="4"/>
      <c r="I293" s="5"/>
      <c r="J293" s="5"/>
    </row>
    <row r="294" spans="8:10" x14ac:dyDescent="0.25">
      <c r="H294" s="4"/>
      <c r="I294" s="6"/>
      <c r="J294" s="6"/>
    </row>
    <row r="295" spans="8:10" x14ac:dyDescent="0.25">
      <c r="H295" s="4"/>
      <c r="I295" s="6"/>
      <c r="J295" s="6"/>
    </row>
    <row r="296" spans="8:10" x14ac:dyDescent="0.25">
      <c r="H296" s="4"/>
      <c r="I296" s="6"/>
      <c r="J296" s="6"/>
    </row>
    <row r="298" spans="8:10" x14ac:dyDescent="0.25">
      <c r="H298" s="1"/>
    </row>
    <row r="302" spans="8:10" ht="15" x14ac:dyDescent="0.35">
      <c r="H302" s="7"/>
    </row>
    <row r="303" spans="8:10" ht="15" x14ac:dyDescent="0.35">
      <c r="H303" s="7"/>
    </row>
    <row r="304" spans="8:10" ht="15" x14ac:dyDescent="0.35">
      <c r="H304" s="7"/>
    </row>
  </sheetData>
  <mergeCells count="1">
    <mergeCell ref="A1:D1"/>
  </mergeCells>
  <phoneticPr fontId="0" type="noConversion"/>
  <pageMargins left="0.28999999999999998" right="0.2" top="0.23" bottom="0.25" header="0.2" footer="0.18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129</vt:i4>
      </vt:variant>
    </vt:vector>
  </HeadingPairs>
  <TitlesOfParts>
    <vt:vector size="131" baseType="lpstr">
      <vt:lpstr>Лок.См.Расч.Баз.-Инд.Методом</vt:lpstr>
      <vt:lpstr>Переменные и константы</vt:lpstr>
      <vt:lpstr>Дата_изменения_группы_строек</vt:lpstr>
      <vt:lpstr>Дата_изменения_локальной_сметы</vt:lpstr>
      <vt:lpstr>Дата_изменения_объекта</vt:lpstr>
      <vt:lpstr>Дата_изменения_объектной_сметы</vt:lpstr>
      <vt:lpstr>Дата_изменения_очереди</vt:lpstr>
      <vt:lpstr>Дата_изменения_пускового_комплекса</vt:lpstr>
      <vt:lpstr>Дата_изменения_сводного_сметного_расчета</vt:lpstr>
      <vt:lpstr>Дата_изменения_стройки</vt:lpstr>
      <vt:lpstr>Дата_создания_группы_строек</vt:lpstr>
      <vt:lpstr>Дата_создания_локальной_сметы</vt:lpstr>
      <vt:lpstr>Дата_создания_объекта</vt:lpstr>
      <vt:lpstr>Дата_создания_объектной_сметы</vt:lpstr>
      <vt:lpstr>Дата_создания_очереди</vt:lpstr>
      <vt:lpstr>Дата_создания_пускового_комплекса</vt:lpstr>
      <vt:lpstr>Дата_создания_сводного_сметного_расчета</vt:lpstr>
      <vt:lpstr>Дата_создания_стройки</vt:lpstr>
      <vt:lpstr>'Лок.См.Расч.Баз.-Инд.Методом'!Заголовки_для_печати</vt:lpstr>
      <vt:lpstr>Заказчик</vt:lpstr>
      <vt:lpstr>Инвестор</vt:lpstr>
      <vt:lpstr>Индекс_ЛН_группы_строек</vt:lpstr>
      <vt:lpstr>Индекс_ЛН_локальной_сметы</vt:lpstr>
      <vt:lpstr>Индекс_ЛН_объекта</vt:lpstr>
      <vt:lpstr>Индекс_ЛН_объектной_сметы</vt:lpstr>
      <vt:lpstr>Индекс_ЛН_очереди</vt:lpstr>
      <vt:lpstr>Индекс_ЛН_пускового_комплекса</vt:lpstr>
      <vt:lpstr>Индекс_ЛН_сводного_сметного_расчета</vt:lpstr>
      <vt:lpstr>Индекс_ЛН_стройки</vt:lpstr>
      <vt:lpstr>Итого_ЗПМ__по_рес_расчету_с_учетом_к_тов</vt:lpstr>
      <vt:lpstr>Итого_ЗПМ_по_акту_вып_работ_в_базисных_ценах_с_учетом_к_тов</vt:lpstr>
      <vt:lpstr>Итого_ЗПМ_по_акту_вып_работ_при_ресурсном_расчете_с_учетом_к_тов</vt:lpstr>
      <vt:lpstr>Итого_ЗПМ_по_акту_выполненных_работ_в_базисных_ценах</vt:lpstr>
      <vt:lpstr>Итого_ЗПМ_по_акту_выполненных_работ_при_ресурсном_расчете</vt:lpstr>
      <vt:lpstr>Итого_ЗПМ_при_расчете_по_стоимости_ч_часа_работы_механизаторов</vt:lpstr>
      <vt:lpstr>Итого_МАТ_по_акту_вып_работ_в_базисных_ценах_с_учетом_к_тов</vt:lpstr>
      <vt:lpstr>Итого_МАТ_по_акту_вып_работ_при_ресурсном_расчете_с_учетом_к_тов</vt:lpstr>
      <vt:lpstr>Итого_материалы</vt:lpstr>
      <vt:lpstr>Итого_материалы__по_рес_расчету_с_учетом_к_тов</vt:lpstr>
      <vt:lpstr>Итого_материалы_по_акту_выполненных_работ_в_базисных_ценах</vt:lpstr>
      <vt:lpstr>Итого_материалы_по_акту_выполненных_работ_при_ресурсном_расчете</vt:lpstr>
      <vt:lpstr>Итого_машины_и_механизмы</vt:lpstr>
      <vt:lpstr>Итого_машины_и_механизмы_по_акту_выполненных_работ_в_базисных_ценах</vt:lpstr>
      <vt:lpstr>Итого_машины_и_механизмы_по_акту_выполненных_работ_при_ресурсном_расчете</vt:lpstr>
      <vt:lpstr>Итого_НР_по_акту_по_ресурсному_расчету</vt:lpstr>
      <vt:lpstr>Итого_НР_по_ресурсному_расчету</vt:lpstr>
      <vt:lpstr>Итого_ОЗП</vt:lpstr>
      <vt:lpstr>Итого_ОЗП_по_акту_вып_работ_в_базисных_ценах_с_учетом_к_тов</vt:lpstr>
      <vt:lpstr>Итого_ОЗП_по_акту_вып_работ_при_ресурсном_расчете_с_учетом_к_тов</vt:lpstr>
      <vt:lpstr>Итого_ОЗП_по_акту_выполненных_работ_в_базисных_ценах</vt:lpstr>
      <vt:lpstr>Итого_ОЗП_по_акту_выполненных_работ_при_ресурсном_расчете</vt:lpstr>
      <vt:lpstr>Итого_ОЗП_по_рес_расчету_с_учетом_к_тов</vt:lpstr>
      <vt:lpstr>Итого_ПЗ</vt:lpstr>
      <vt:lpstr>Итого_ПЗ_в_базисных_ценах</vt:lpstr>
      <vt:lpstr>Итого_ПЗ_по_акту_вып_работ_в_базисных_ценах_с_учетом_к_тов</vt:lpstr>
      <vt:lpstr>Итого_ПЗ_по_акту_вып_работ_при_ресурсном_расчете_с_учетом_к_тов</vt:lpstr>
      <vt:lpstr>Итого_ПЗ_по_акту_выполненных_работ_в_базисных_ценах</vt:lpstr>
      <vt:lpstr>Итого_ПЗ_по_акту_выполненных_работ_при_ресурсном_расчете</vt:lpstr>
      <vt:lpstr>Итого_ПЗ_по_рес_расчету_с_учетом_к_тов</vt:lpstr>
      <vt:lpstr>Итого_СП_по_акту_по_ресурсному_расчету</vt:lpstr>
      <vt:lpstr>Итого_СП_по_ресурсному_расчету</vt:lpstr>
      <vt:lpstr>Итого_ФОТ_по_акту_выполненных_работ_в_базисных_ценах</vt:lpstr>
      <vt:lpstr>Итого_ФОТ_по_акту_выполненных_работ_при_ресурсном_расчете</vt:lpstr>
      <vt:lpstr>Итого_ФОТ_при_расчете_по_доле_з_п_в_стоимости_эксплуатации_машин</vt:lpstr>
      <vt:lpstr>Итого_ЭММ__по_рес_расчету_с_учетом_к_тов</vt:lpstr>
      <vt:lpstr>Итого_ЭММ_по_акту_вып_работ_в_базисных_ценах_с_учетом_к_тов</vt:lpstr>
      <vt:lpstr>Итого_ЭММ_по_акту_вып_работ_при_ресурсном_расчете_с_учетом_к_тов</vt:lpstr>
      <vt:lpstr>к_ЗПМ</vt:lpstr>
      <vt:lpstr>к_МАТ</vt:lpstr>
      <vt:lpstr>к_ОЗП</vt:lpstr>
      <vt:lpstr>к_ПЗ</vt:lpstr>
      <vt:lpstr>к_ЭМ</vt:lpstr>
      <vt:lpstr>Монтажные_работы_в_базисных_ценах</vt:lpstr>
      <vt:lpstr>Монтажные_работы_в_текущих_ценах</vt:lpstr>
      <vt:lpstr>Монтажные_работы_в_текущих_ценах_по_ресурсному_расчету</vt:lpstr>
      <vt:lpstr>Монтажные_работы_в_текущих_ценах_после_применения_индексов</vt:lpstr>
      <vt:lpstr>Наименование_группы_строек</vt:lpstr>
      <vt:lpstr>Наименование_локальной_сметы</vt:lpstr>
      <vt:lpstr>Наименование_объекта</vt:lpstr>
      <vt:lpstr>Наименование_объектной_сметы</vt:lpstr>
      <vt:lpstr>Наименование_очереди</vt:lpstr>
      <vt:lpstr>Наименование_пускового_комплекса</vt:lpstr>
      <vt:lpstr>Наименование_сводного_сметного_расчета</vt:lpstr>
      <vt:lpstr>Наименование_стройки</vt:lpstr>
      <vt:lpstr>Оборудование_в_базисных_ценах</vt:lpstr>
      <vt:lpstr>Оборудование_в_текущих_ценах</vt:lpstr>
      <vt:lpstr>Оборудование_в_текущих_ценах_по_ресурсному_расчету</vt:lpstr>
      <vt:lpstr>Оборудование_в_текущих_ценах_после_применения_индексов</vt:lpstr>
      <vt:lpstr>Обоснование_поправки</vt:lpstr>
      <vt:lpstr>Описание_группы_строек</vt:lpstr>
      <vt:lpstr>Описание_локальной_сметы</vt:lpstr>
      <vt:lpstr>Описание_объекта</vt:lpstr>
      <vt:lpstr>Описание_объектной_сметы</vt:lpstr>
      <vt:lpstr>Описание_очереди</vt:lpstr>
      <vt:lpstr>Описание_пускового_комплекса</vt:lpstr>
      <vt:lpstr>Описание_сводного_сметного_расчета</vt:lpstr>
      <vt:lpstr>Описание_стройки</vt:lpstr>
      <vt:lpstr>Основание</vt:lpstr>
      <vt:lpstr>Отчетный_период__учет_выполненных_работ</vt:lpstr>
      <vt:lpstr>Проверил</vt:lpstr>
      <vt:lpstr>Прочие_затраты_в_базисных_ценах</vt:lpstr>
      <vt:lpstr>Прочие_затраты_в_текущих_ценах</vt:lpstr>
      <vt:lpstr>Прочие_затраты_в_текущих_ценах_по_ресурсному_расчету</vt:lpstr>
      <vt:lpstr>Прочие_затраты_в_текущих_ценах_после_применения_индексов</vt:lpstr>
      <vt:lpstr>Регистрационный_номер_группы_строек</vt:lpstr>
      <vt:lpstr>Регистрационный_номер_локальной_сметы</vt:lpstr>
      <vt:lpstr>Регистрационный_номер_объекта</vt:lpstr>
      <vt:lpstr>Регистрационный_номер_объектной_сметы</vt:lpstr>
      <vt:lpstr>Регистрационный_номер_очереди</vt:lpstr>
      <vt:lpstr>Регистрационный_номер_пускового_комплекса</vt:lpstr>
      <vt:lpstr>Регистрационный_номер_сводного_сметного_расчета</vt:lpstr>
      <vt:lpstr>Регистрационный_номер_стройки</vt:lpstr>
      <vt:lpstr>Сметная_стоимость_в_базисных_ценах</vt:lpstr>
      <vt:lpstr>Сметная_стоимость_в_текущих_ценах__после_применения_индексов</vt:lpstr>
      <vt:lpstr>Сметная_стоимость_по_ресурсному_расчету</vt:lpstr>
      <vt:lpstr>Составил</vt:lpstr>
      <vt:lpstr>Стоимость_по_акту_выполненных_работ_в_базисных_ценах</vt:lpstr>
      <vt:lpstr>Стоимость_по_акту_выполненных_работ_при_ресурсном_расчете</vt:lpstr>
      <vt:lpstr>Строительные_работы_в_базисных_ценах</vt:lpstr>
      <vt:lpstr>Строительные_работы_в_текущих_ценах</vt:lpstr>
      <vt:lpstr>Строительные_работы_в_текущих_ценах_по_ресурсному_расчету</vt:lpstr>
      <vt:lpstr>Строительные_работы_в_текущих_ценах_после_применения_индексов</vt:lpstr>
      <vt:lpstr>Территориальная_поправка_к_ТЕР</vt:lpstr>
      <vt:lpstr>Труд_механизаторов_по_акту_вып_работ_с_учетом_к_тов</vt:lpstr>
      <vt:lpstr>Труд_основн_рабочих_по_акту_вып_работ_с_учетом_к_тов</vt:lpstr>
      <vt:lpstr>Трудоемкость_механизаторов_по_акту_выполненных_работ</vt:lpstr>
      <vt:lpstr>Трудоемкость_основных_рабочих_по_акту_выполненных_работ</vt:lpstr>
      <vt:lpstr>Укрупненный_норматив_НР_для_расчета_в_текущих_ценах_и_ценах_2001г.</vt:lpstr>
      <vt:lpstr>Укрупненный_норматив_НР_для_расчета_в_ценах_1984г.</vt:lpstr>
      <vt:lpstr>Укрупненный_норматив_СП_для_расчета_в_текущих_ценах_и_ценах_2001г.</vt:lpstr>
      <vt:lpstr>Укрупненный_норматив_СП_для_расчета_в_ценах_1984г.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Сафьянова Любовь Александровна</cp:lastModifiedBy>
  <cp:lastPrinted>2016-04-15T03:47:05Z</cp:lastPrinted>
  <dcterms:created xsi:type="dcterms:W3CDTF">2003-01-28T12:33:10Z</dcterms:created>
  <dcterms:modified xsi:type="dcterms:W3CDTF">2016-04-29T05:05:49Z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