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23.03.2016 КОНКУРС\Толстого, 44\"/>
    </mc:Choice>
  </mc:AlternateContent>
  <bookViews>
    <workbookView xWindow="0" yWindow="60" windowWidth="7500" windowHeight="4245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'Лок.См.Расч.Баз.-Инд.Методом'!$A$1:$N$206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181" i="5" l="1"/>
  <c r="AI181" i="5"/>
  <c r="L182" i="5"/>
  <c r="AI182" i="5"/>
  <c r="L183" i="5"/>
  <c r="AI183" i="5"/>
  <c r="L163" i="5"/>
  <c r="AI163" i="5"/>
  <c r="L164" i="5"/>
  <c r="AI164" i="5"/>
  <c r="L165" i="5"/>
  <c r="AI165" i="5"/>
  <c r="L166" i="5"/>
  <c r="AI166" i="5"/>
  <c r="L167" i="5"/>
  <c r="AI167" i="5"/>
  <c r="L168" i="5"/>
  <c r="AI168" i="5"/>
  <c r="L169" i="5"/>
  <c r="AI169" i="5"/>
  <c r="L170" i="5"/>
  <c r="AI170" i="5"/>
  <c r="L171" i="5"/>
  <c r="AI171" i="5"/>
  <c r="L172" i="5"/>
  <c r="AI172" i="5"/>
  <c r="L173" i="5"/>
  <c r="AI173" i="5"/>
  <c r="L174" i="5"/>
  <c r="AI174" i="5"/>
  <c r="L142" i="5"/>
  <c r="AI142" i="5"/>
  <c r="L143" i="5"/>
  <c r="AI143" i="5"/>
  <c r="L144" i="5"/>
  <c r="AI144" i="5"/>
  <c r="L145" i="5"/>
  <c r="AI145" i="5"/>
  <c r="L146" i="5"/>
  <c r="AI146" i="5"/>
  <c r="L147" i="5"/>
  <c r="AI147" i="5"/>
  <c r="L148" i="5"/>
  <c r="AI148" i="5"/>
  <c r="L149" i="5"/>
  <c r="AI149" i="5"/>
  <c r="L150" i="5"/>
  <c r="AI150" i="5"/>
  <c r="L151" i="5"/>
  <c r="AI151" i="5"/>
  <c r="L152" i="5"/>
  <c r="AI152" i="5"/>
  <c r="L153" i="5"/>
  <c r="AI153" i="5"/>
  <c r="L122" i="5"/>
  <c r="AI122" i="5"/>
  <c r="L123" i="5"/>
  <c r="AI123" i="5"/>
  <c r="L124" i="5"/>
  <c r="AI124" i="5"/>
  <c r="L125" i="5"/>
  <c r="AI125" i="5"/>
  <c r="L126" i="5"/>
  <c r="AI126" i="5"/>
  <c r="L127" i="5"/>
  <c r="AI127" i="5"/>
  <c r="L128" i="5"/>
  <c r="AI128" i="5"/>
  <c r="L129" i="5"/>
  <c r="AI129" i="5"/>
  <c r="L130" i="5"/>
  <c r="AI130" i="5"/>
  <c r="L131" i="5"/>
  <c r="AI131" i="5"/>
  <c r="L132" i="5"/>
  <c r="AI132" i="5"/>
  <c r="L75" i="5"/>
  <c r="AI75" i="5"/>
  <c r="L76" i="5"/>
  <c r="AI76" i="5"/>
  <c r="L77" i="5"/>
  <c r="AI77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37" i="5"/>
  <c r="AI37" i="5"/>
  <c r="L38" i="5"/>
  <c r="AI38" i="5"/>
  <c r="L39" i="5"/>
  <c r="AI39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60" i="5"/>
  <c r="AI60" i="5"/>
  <c r="L61" i="5"/>
  <c r="AI61" i="5"/>
  <c r="L62" i="5"/>
  <c r="AI62" i="5"/>
  <c r="L63" i="5"/>
  <c r="AI63" i="5"/>
  <c r="L64" i="5"/>
  <c r="AI64" i="5"/>
  <c r="L65" i="5"/>
  <c r="AI65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C181" i="5"/>
  <c r="C172" i="5"/>
  <c r="C151" i="5"/>
  <c r="C131" i="5"/>
  <c r="C85" i="5"/>
  <c r="C97" i="5"/>
  <c r="C109" i="5"/>
  <c r="C45" i="5"/>
  <c r="C57" i="5"/>
  <c r="C24" i="5"/>
  <c r="C29" i="5"/>
  <c r="C165" i="5"/>
  <c r="C144" i="5"/>
  <c r="C124" i="5"/>
  <c r="C78" i="5"/>
  <c r="C90" i="5"/>
  <c r="C102" i="5"/>
  <c r="C38" i="5"/>
  <c r="C50" i="5"/>
  <c r="C62" i="5"/>
  <c r="C25" i="5"/>
  <c r="C170" i="5"/>
  <c r="C149" i="5"/>
  <c r="C129" i="5"/>
  <c r="C83" i="5"/>
  <c r="C95" i="5"/>
  <c r="C107" i="5"/>
  <c r="C43" i="5"/>
  <c r="C55" i="5"/>
  <c r="C163" i="5"/>
  <c r="C142" i="5"/>
  <c r="C122" i="5"/>
  <c r="C76" i="5"/>
  <c r="C88" i="5"/>
  <c r="C100" i="5"/>
  <c r="C112" i="5"/>
  <c r="C48" i="5"/>
  <c r="C60" i="5"/>
  <c r="C27" i="5"/>
  <c r="C58" i="5"/>
  <c r="C168" i="5"/>
  <c r="C147" i="5"/>
  <c r="C127" i="5"/>
  <c r="C81" i="5"/>
  <c r="C93" i="5"/>
  <c r="C105" i="5"/>
  <c r="C41" i="5"/>
  <c r="C53" i="5"/>
  <c r="C65" i="5"/>
  <c r="C182" i="5"/>
  <c r="C173" i="5"/>
  <c r="C152" i="5"/>
  <c r="C132" i="5"/>
  <c r="C86" i="5"/>
  <c r="C98" i="5"/>
  <c r="C110" i="5"/>
  <c r="C46" i="5"/>
  <c r="C64" i="5"/>
  <c r="C166" i="5"/>
  <c r="C145" i="5"/>
  <c r="C125" i="5"/>
  <c r="C79" i="5"/>
  <c r="C91" i="5"/>
  <c r="C103" i="5"/>
  <c r="C39" i="5"/>
  <c r="C51" i="5"/>
  <c r="C63" i="5"/>
  <c r="C30" i="5"/>
  <c r="C22" i="5"/>
  <c r="C171" i="5"/>
  <c r="C150" i="5"/>
  <c r="C130" i="5"/>
  <c r="C84" i="5"/>
  <c r="C96" i="5"/>
  <c r="C108" i="5"/>
  <c r="C44" i="5"/>
  <c r="C56" i="5"/>
  <c r="C26" i="5"/>
  <c r="C164" i="5"/>
  <c r="C143" i="5"/>
  <c r="C123" i="5"/>
  <c r="C77" i="5"/>
  <c r="C89" i="5"/>
  <c r="C101" i="5"/>
  <c r="C37" i="5"/>
  <c r="C49" i="5"/>
  <c r="C28" i="5"/>
  <c r="C169" i="5"/>
  <c r="C148" i="5"/>
  <c r="C128" i="5"/>
  <c r="C82" i="5"/>
  <c r="C94" i="5"/>
  <c r="C106" i="5"/>
  <c r="C42" i="5"/>
  <c r="C54" i="5"/>
  <c r="C21" i="5"/>
  <c r="C23" i="5"/>
  <c r="C183" i="5"/>
  <c r="C174" i="5"/>
  <c r="C153" i="5"/>
  <c r="C75" i="5"/>
  <c r="C87" i="5"/>
  <c r="C99" i="5"/>
  <c r="C111" i="5"/>
  <c r="C47" i="5"/>
  <c r="C59" i="5"/>
  <c r="C61" i="5"/>
  <c r="C167" i="5"/>
  <c r="C146" i="5"/>
  <c r="C126" i="5"/>
  <c r="C80" i="5"/>
  <c r="C92" i="5"/>
  <c r="C104" i="5"/>
  <c r="C40" i="5"/>
  <c r="C52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18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18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18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18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18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187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0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206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<sst xmlns="http://schemas.openxmlformats.org/spreadsheetml/2006/main" count="934" uniqueCount="581">
  <si>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</si>
  <si>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</si>
  <si>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</si>
  <si>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</si>
  <si>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</si>
  <si>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</si>
  <si>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</si>
  <si>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</si>
  <si>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</si>
  <si>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</si>
  <si>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</si>
  <si>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</si>
  <si>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</si>
  <si>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</si>
  <si>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</si>
  <si>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</si>
  <si>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</si>
  <si>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</si>
  <si>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</si>
  <si>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</si>
  <si>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</si>
  <si>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</si>
  <si>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</si>
  <si>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</si>
  <si>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</si>
  <si>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 xml:space="preserve">
ИНН/КПП /</t>
  </si>
  <si>
    <t>ЛОКАЛЬНЫЙ СМЕТНЫЙ РАСЧЕТ №  02-01-01</t>
  </si>
  <si>
    <t>Основание:  проект П-12-124-1- АС</t>
  </si>
  <si>
    <t>Проверил:____________________________</t>
  </si>
  <si>
    <t>Раздел 1. Демонтажные работы</t>
  </si>
  <si>
    <t>ФЕР46-04-008-04</t>
  </si>
  <si>
    <t>154,66
124,02</t>
  </si>
  <si>
    <t>46.70 Разборка покрытий кровель: ОЗП=16,9; ЭМ=2,99; ЗПМ=16,9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</si>
  <si>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</si>
  <si>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</si>
  <si>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</si>
  <si>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</si>
  <si>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ФЕР46-04-008-02</t>
  </si>
  <si>
    <t>79,44
66,92</t>
  </si>
  <si>
    <t>Разборка покрытий кровель: из листовой стали</t>
  </si>
  <si>
    <t>ФЕРр58-3-1</t>
  </si>
  <si>
    <t>71,18
70,98</t>
  </si>
  <si>
    <t>84.3 Разборка мелких покрытий и обделок из листовой стали: ОЗП=16,9; ЭМ=4,75; ЗПМ=16,9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</si>
  <si>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</si>
  <si>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</si>
  <si>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</si>
  <si>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</si>
  <si>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ФЕРр58-2-2</t>
  </si>
  <si>
    <t>2466,21
2455,84</t>
  </si>
  <si>
    <t>84.2 Разборка слуховых окон: ОЗП=16,9; ЭМ=4,65; ЗПМ=16,9</t>
  </si>
  <si>
    <t>Разборка слуховых окон: прямоугольных односкатных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</si>
  <si>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</si>
  <si>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</si>
  <si>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</si>
  <si>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</si>
  <si>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ОЗП=16,9; ЭМ=12,12; ЗПМ=16,9</t>
  </si>
  <si>
    <t>2824
608</t>
  </si>
  <si>
    <t>15,16
0,46</t>
  </si>
  <si>
    <t>88,99
2,7</t>
  </si>
  <si>
    <t>Разборка деревянных элементов конструкций крыш: обрешетки из брусков с прозорами</t>
  </si>
  <si>
    <t>100 м2 кровли</t>
  </si>
  <si>
    <t>ФЕРр58-1-2</t>
  </si>
  <si>
    <t>208,54
183,48</t>
  </si>
  <si>
    <t>25,06
3,92</t>
  </si>
  <si>
    <t>1782
389</t>
  </si>
  <si>
    <t>22,68
0,29</t>
  </si>
  <si>
    <t>133,13
1,7</t>
  </si>
  <si>
    <t>Разборка деревянных элементов конструкций крыш: стропил со стойками и подкосами из досок</t>
  </si>
  <si>
    <t>ФЕР46-04-001-04</t>
  </si>
  <si>
    <t>11,51
8,2+3,31</t>
  </si>
  <si>
    <t>180,03
73,01</t>
  </si>
  <si>
    <t>107,02
11,57</t>
  </si>
  <si>
    <t>46.59 Разборка: кирпичных и мелкоблочных стен: ОЗП=16,9; ЭМ=7,43; ЗПМ=16,9</t>
  </si>
  <si>
    <t>9154
2248</t>
  </si>
  <si>
    <t>8,24
1,15</t>
  </si>
  <si>
    <t>94,84
13,24</t>
  </si>
  <si>
    <t>Разборка: кирпичных стен</t>
  </si>
  <si>
    <t>1 м3</t>
  </si>
  <si>
    <t>ФЕРр69-15-1</t>
  </si>
  <si>
    <t>49,56
82,6*0,6</t>
  </si>
  <si>
    <t>23,81
7,41</t>
  </si>
  <si>
    <t>94.26 Затаривание строительного мусора в мешки: ОЗП=16,9; МАТ=7,38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</si>
  <si>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</si>
  <si>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</si>
  <si>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</si>
  <si>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</si>
  <si>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ФЕР16-04-001-02
ОЗП=0,4
ЭМ=0,4
ЗПМ=0,4
МАТ=0
ТЗ=0,4
ТЗМ=0,4</t>
  </si>
  <si>
    <t>247,06
244,43</t>
  </si>
  <si>
    <t>2,63
0,27</t>
  </si>
  <si>
    <t>16.104 Прокладка трубопроводов канализации из полиэтиленовых труб высокой плотности диаметром: 100 мм: ОЗП=16,9; ЭМ=11,63; ЗПМ=16,9; МАТ=3,14</t>
  </si>
  <si>
    <t>24,64
0,02</t>
  </si>
  <si>
    <t>НР 98%=128%*(0,85*0,9) от ФОТ</t>
  </si>
  <si>
    <t>СП 56%=83%*(0,8*0,85) от ФОТ</t>
  </si>
  <si>
    <t>(Демонтаж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ТЗМ=0,4)</t>
  </si>
  <si>
    <t>Разборка трубопроводов канализации из полиэтиленовых труб высокой плотности диаметром: 110 мм</t>
  </si>
  <si>
    <t>100 м трубопровода</t>
  </si>
  <si>
    <t>ФЕРр65-35-1</t>
  </si>
  <si>
    <t>189,06
159,51</t>
  </si>
  <si>
    <t>0,31
0,14</t>
  </si>
  <si>
    <t>90.114 Прочистка вентиляционных каналов: ОЗП=16,9; ЭМ=7,45; ЗПМ=16,9; МАТ=4,96</t>
  </si>
  <si>
    <t>18,7
0,01</t>
  </si>
  <si>
    <t>НР 63%=74%*0,85 от ФОТ</t>
  </si>
  <si>
    <t>Прочистка вентиляционных каналов</t>
  </si>
  <si>
    <t>100 м канала</t>
  </si>
  <si>
    <t>Итого прямые затраты по разделу в ценах 2001г.</t>
  </si>
  <si>
    <t>1796
192</t>
  </si>
  <si>
    <t>485,21
17,64</t>
  </si>
  <si>
    <t>Итого прямые затраты по разделу с учетом индексов, в текущих ценах</t>
  </si>
  <si>
    <t>14310
3245</t>
  </si>
  <si>
    <t>Накладные расходы</t>
  </si>
  <si>
    <t>Сметная прибыль</t>
  </si>
  <si>
    <t>Итого по разделу 1 Демонтажные работы</t>
  </si>
  <si>
    <t>Раздел 2. Чердак</t>
  </si>
  <si>
    <t>ФЕР08-02-001-01</t>
  </si>
  <si>
    <t>890,84
44,87</t>
  </si>
  <si>
    <t>34,56
5,4</t>
  </si>
  <si>
    <t>8.14. Кладка стен из кирпича: ОЗП=16,9; ЭМ=12,12; ЗПМ=16,9; МАТ=4,7</t>
  </si>
  <si>
    <t>4290
930</t>
  </si>
  <si>
    <t>5,4
0,4</t>
  </si>
  <si>
    <t>44,28
3,28</t>
  </si>
  <si>
    <t>НР 93%=122%*(0,85*0,9) от ФОТ</t>
  </si>
  <si>
    <t>СП 54%=80%*(0,8*0,85) от ФОТ</t>
  </si>
  <si>
    <t>Кладка стен кирпичных наружных: простых при высоте этажа до 4 м</t>
  </si>
  <si>
    <t>1 м3 кладки</t>
  </si>
  <si>
    <t>ФЕР08-02-003-03</t>
  </si>
  <si>
    <t>933,48
74,54</t>
  </si>
  <si>
    <t>36,29
5,67</t>
  </si>
  <si>
    <t>8.17. Кладка из кирпича конструкций: ОЗП=16,9; ЭМ=12,09; ЗПМ=16,9; МАТ=4,68</t>
  </si>
  <si>
    <t>339
68</t>
  </si>
  <si>
    <t>7,93
0,42</t>
  </si>
  <si>
    <t>4,76
0,25</t>
  </si>
  <si>
    <t>Кладка из кирпича: столбов прямоугольных неармированных при высоте этажа до 4 м</t>
  </si>
  <si>
    <t>ФЕРр58-13-1</t>
  </si>
  <si>
    <t>924,81
36,25</t>
  </si>
  <si>
    <t>84.34 Устройство покрытия из рулонных материалов: насухо без промазки кромок: ОЗП=16,9; ЭМ=11,82; ЗПМ=16,9; МАТ=5,01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</si>
  <si>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</si>
  <si>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</si>
  <si>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МАТ=5,004</t>
  </si>
  <si>
    <t>Рубероид кровельный с крупнозернистой посыпкой марки: РКК-350б</t>
  </si>
  <si>
    <t>м2</t>
  </si>
  <si>
    <t>104-9221-90002</t>
  </si>
  <si>
    <t>Индекс на материалы; МАТ=5,56</t>
  </si>
  <si>
    <t>Изоспан: Двухслойная паропроницаемая мембрана марки В 14,62/5,56=2,63</t>
  </si>
  <si>
    <t>ФЕР12-01-013-03</t>
  </si>
  <si>
    <t>4711,58
433,09</t>
  </si>
  <si>
    <t>132,25
7,43</t>
  </si>
  <si>
    <t>12.31. Утепление покрытий плитами: из минеральной ваты или перлита на битумной мастике: ОЗП=16,9; ЭМ=9,15; ЗПМ=16,9; МАТ=6,74</t>
  </si>
  <si>
    <t>6249
659</t>
  </si>
  <si>
    <t>45,54
0,55</t>
  </si>
  <si>
    <t>188,08
2,27</t>
  </si>
  <si>
    <t>НР 92%=120%*(0,85*0,9) от ФОТ</t>
  </si>
  <si>
    <t>СП 44%=65%*(0,8*0,85) от ФОТ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</si>
  <si>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</si>
  <si>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</si>
  <si>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</si>
  <si>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ЭМ=5,446</t>
  </si>
  <si>
    <t>НР 0% от ФОТ</t>
  </si>
  <si>
    <t>СП 0% от ФОТ</t>
  </si>
  <si>
    <t>Котлы битумные передвижные 400 л</t>
  </si>
  <si>
    <t>маш.-ч</t>
  </si>
  <si>
    <t>ФССЦ-101-0078</t>
  </si>
  <si>
    <t>Битумы нефтяные строительные кровельные марки: БНК-45/190, БНК-45/180; МАТ=13,277</t>
  </si>
  <si>
    <t>Битумы нефтяные строительные кровельные марки БНК-45/190, БНК-45/180</t>
  </si>
  <si>
    <t>т</t>
  </si>
  <si>
    <t>ФССЦ-101-0322</t>
  </si>
  <si>
    <t>Керосин для технических целей марок KT-1, KT-2; МАТ=15,94</t>
  </si>
  <si>
    <t>Керосин для технических целей марок КТ-1, КТ-2</t>
  </si>
  <si>
    <t>ФССЦ-101-0594</t>
  </si>
  <si>
    <t>Мастика битумная кровельная горячая; МАТ=10,167</t>
  </si>
  <si>
    <t>Мастика битумная кровельная горячая</t>
  </si>
  <si>
    <t>ФССЦ-104-0004</t>
  </si>
  <si>
    <t>Плиты из минеральной ваты:на синтетическом связующем М-125 (ГОСТ 9573-82); МАТ=5,772</t>
  </si>
  <si>
    <t>Плиты из минеральной ваты на синтетическом связующем М-125 (ГОСТ 9573-96)</t>
  </si>
  <si>
    <t>м3</t>
  </si>
  <si>
    <t>ФЕР12-01-013-04
ПЗ=3
ОЗП=3
ЭМ=3
ЗПМ=3
МАТ=3
ТЗ=3
ТЗМ=3</t>
  </si>
  <si>
    <t>13255,98
1005,96</t>
  </si>
  <si>
    <t>379,65
22,29</t>
  </si>
  <si>
    <t>17934
1944</t>
  </si>
  <si>
    <t>105,78
1,65</t>
  </si>
  <si>
    <t>436,87
6,81</t>
  </si>
  <si>
    <t>(Всего толщ. 200 мм ПЗ=3 (ОЗП=3; ЭМ=3 к расх.; ЗПМ=3; МАТ=3 к расх.; ТЗ=3; ТЗМ=3))</t>
  </si>
  <si>
    <t>Утепление покрытий плитами: на каждый последующий слой добавлять к расценке 12-01-013-03</t>
  </si>
  <si>
    <t>ФЕР12-01-013-04
ПЗ=2
ОЗП=2
ЭМ=2
ЗПМ=2
МАТ=2
ТЗ=2
ТЗМ=2</t>
  </si>
  <si>
    <t>8837,32
670,64</t>
  </si>
  <si>
    <t>253,1
14,86</t>
  </si>
  <si>
    <t>2983
321</t>
  </si>
  <si>
    <t>70,52
1,1</t>
  </si>
  <si>
    <t>72,64
1,13</t>
  </si>
  <si>
    <t>(В 2 слоя ПЗ=2 (ОЗП=2; ЭМ=2 к расх.; ЗПМ=2; МАТ=2 к расх.; ТЗ=2; ТЗМ=2))</t>
  </si>
  <si>
    <t>Утепление покрытий плитами: на каждый последующий слой добавлять к расценке 12-01-013-03 дополнительный слой по периметру</t>
  </si>
  <si>
    <t>ФССЦ-104-9100-91004</t>
  </si>
  <si>
    <t>95,687
(82,6+10,3)*1,03</t>
  </si>
  <si>
    <t>Плиты теплоизоляционные энергетические гидрофобизированные базальтовые: ПТЭ-125 , размером 2000х1000х50 мм 4146,89/5,56=745,84</t>
  </si>
  <si>
    <t>ФССЦ-104-9221-90001</t>
  </si>
  <si>
    <t>Изоспан: Защитный материал марки А 20,40/5,56=3,67</t>
  </si>
  <si>
    <t>ФЕР10-01-023-01</t>
  </si>
  <si>
    <t>1051,44
31,84</t>
  </si>
  <si>
    <t>12,45
1,08</t>
  </si>
  <si>
    <t>10.54. Укладка ходовых досок: ОЗП=16,9; ЭМ=11,15; ЗПМ=16,9; МАТ=5,35</t>
  </si>
  <si>
    <t>3,8
0,08</t>
  </si>
  <si>
    <t>1,25
0,03</t>
  </si>
  <si>
    <t>НР 90%=118%*(0,85*0,9) от ФОТ</t>
  </si>
  <si>
    <t>СП 43%=63%*(0,8*0,85) от ФОТ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</si>
  <si>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</si>
  <si>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</si>
  <si>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</si>
  <si>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МАТ=5,364</t>
  </si>
  <si>
    <t>Доски необрезные хвойных пород длиной: 4-6,5 м, все ширины, толщиной 32-40 мм, III сорта</t>
  </si>
  <si>
    <t>ФССЦ-102-0060</t>
  </si>
  <si>
    <t>Доски обрезные хвойных пород длиной 4-6,5 м, шириной 75-150 мм, толщиной 44 мм и более, II сорта; МАТ=4,159</t>
  </si>
  <si>
    <t>Доски обрезные хвойных пород длиной: 4-6,5 м, шириной 75-150 мм, толщиной 44 мм и более, II сорта</t>
  </si>
  <si>
    <t>ФЕР10-01-053-01
прим. лесница к слуховым окнам</t>
  </si>
  <si>
    <t>2855,67
414,9</t>
  </si>
  <si>
    <t>35,97
1,89</t>
  </si>
  <si>
    <t>10.128 Установка каркаса из брусьев для навесов и крылец: ОЗП=16,9; ЭМ=11,11; ЗПМ=16,9; МАТ=2,88</t>
  </si>
  <si>
    <t>42,51
0,14</t>
  </si>
  <si>
    <t>4,25
0,01</t>
  </si>
  <si>
    <t>Установка каркаса из брусьев для навесов и крылец</t>
  </si>
  <si>
    <t>ФЕР09-06-001-01</t>
  </si>
  <si>
    <t>931,53
763,35</t>
  </si>
  <si>
    <t>131,61
6,62</t>
  </si>
  <si>
    <t>9.75 Монтаж дверей, люков, подвесных путей из полосовой стали и труб; лотков решеток, стеллажей из стали различного профиля: ОЗП=16,9; ЭМ=8,59; ЗПМ=16,9; МАТ=5,38</t>
  </si>
  <si>
    <t>223
17</t>
  </si>
  <si>
    <t>89,49
0,49</t>
  </si>
  <si>
    <t>14,32
0,08</t>
  </si>
  <si>
    <t>НР 69%=90%*(0,85*0,9) от ФОТ</t>
  </si>
  <si>
    <t>СП 58%=85%*(0,8*0,85) от ФОТ</t>
  </si>
  <si>
    <t>Монтаж: конструкций дверей, люков, лазов для автокоптилок и пароварочных камер</t>
  </si>
  <si>
    <t>1 т конструкций</t>
  </si>
  <si>
    <t>ФССЦ-301-0271-00025</t>
  </si>
  <si>
    <t>Люки противопожарные: ЛПМ 01/60, 900х1100 мм 9961,57/5,56=1791,65</t>
  </si>
  <si>
    <t>шт.</t>
  </si>
  <si>
    <t>1582
186</t>
  </si>
  <si>
    <t>812,34
13,86</t>
  </si>
  <si>
    <t>Итого прямые затраты по разделу с учетом коэффициентов к итогам</t>
  </si>
  <si>
    <t>2260
233</t>
  </si>
  <si>
    <t>927,31
17,33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</si>
  <si>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</si>
  <si>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11-12, 16, 22, 26, 34, 37-38)</t>
  </si>
  <si>
    <t>677
47</t>
  </si>
  <si>
    <t>114,9675
3,465</t>
  </si>
  <si>
    <t>26330
3939</t>
  </si>
  <si>
    <t>Итого по разделу 2 Чердак</t>
  </si>
  <si>
    <t>Раздел 3. Крыша</t>
  </si>
  <si>
    <t>ФЕР10-01-002-01</t>
  </si>
  <si>
    <t>2300,67
200,19</t>
  </si>
  <si>
    <t>38,22
2,03</t>
  </si>
  <si>
    <t>10.4. Установка стропил: ОЗП=16,9; ЭМ=11,09; ЗПМ=16,9; МАТ=3,71</t>
  </si>
  <si>
    <t>12521
1014</t>
  </si>
  <si>
    <t>24,09
0,15</t>
  </si>
  <si>
    <t>569,25
3,54</t>
  </si>
  <si>
    <t>Установка стропил</t>
  </si>
  <si>
    <t>1 м3 древесины в конструкции</t>
  </si>
  <si>
    <t>ФЕРр58-12-1</t>
  </si>
  <si>
    <t>2492,19
252,73</t>
  </si>
  <si>
    <t>40,78
5,94</t>
  </si>
  <si>
    <t>84.30 Устройство обрешетки сплошной из досок: ОЗП=16,9; ЭМ=10,32; ЗПМ=16,9; МАТ=5,51</t>
  </si>
  <si>
    <t>1486
355</t>
  </si>
  <si>
    <t>31,83
0,44</t>
  </si>
  <si>
    <t>112,41
1,55</t>
  </si>
  <si>
    <t>Устройство обрешетки сплошной из досок</t>
  </si>
  <si>
    <t>100 м2</t>
  </si>
  <si>
    <t>ФССЦ-102-0073</t>
  </si>
  <si>
    <t>Доски необрезные хвойных пород длиной: 4-6,5 м, все ширины, толщиной 25 мм, III сорта; МАТ=5,639</t>
  </si>
  <si>
    <t>Доски необрезные хвойных пород длиной: 4-6,5 м, все ширины, толщиной 25 мм, III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</si>
  <si>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</si>
  <si>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</si>
  <si>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</si>
  <si>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ОЗП=16,9; ЭМ=10,15; ЗПМ=16,9; МАТ=5,26</t>
  </si>
  <si>
    <t>629
169</t>
  </si>
  <si>
    <t>21,35
0,32</t>
  </si>
  <si>
    <t>49,93
0,75</t>
  </si>
  <si>
    <t>Устройство обрешетки с прозорами из досок и брусков под кровлю: из листовой стали</t>
  </si>
  <si>
    <t>ФЕР10-01-008-05</t>
  </si>
  <si>
    <t>5313,53
1219,79</t>
  </si>
  <si>
    <t>10.12. Устройство карнизов: ОЗП=16,9; ЭМ=11,76; ЗПМ=16,9; МАТ=6,51</t>
  </si>
  <si>
    <t>Устройство: карнизов</t>
  </si>
  <si>
    <t>100 м2 стен, фронтонов (за вычетом проемов) и развернутых поверхностей карнизов</t>
  </si>
  <si>
    <t>ФССЦ-104-9221-90004</t>
  </si>
  <si>
    <t>Изоспан: Защитный материал марки D 19,49/5,56=3,51</t>
  </si>
  <si>
    <t>ФЕР10-01-003-01</t>
  </si>
  <si>
    <t>378,81
56,55</t>
  </si>
  <si>
    <t>22,06
1,49</t>
  </si>
  <si>
    <t>10.5. Устройство слуховых окон: ОЗП=16,9; ЭМ=11,27; ЗПМ=16,9; МАТ=5,43</t>
  </si>
  <si>
    <t>620
68</t>
  </si>
  <si>
    <t>6,63
0,11</t>
  </si>
  <si>
    <t>13,26
0,22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</si>
  <si>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</si>
  <si>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</si>
  <si>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</si>
  <si>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МАТ=2,338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</si>
  <si>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</si>
  <si>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</si>
  <si>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</si>
  <si>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МАТ=1,986</t>
  </si>
  <si>
    <t>Шпингалеты дверные размером 230х26 мм, оцинкованные или окрашенные</t>
  </si>
  <si>
    <t>ФЕР10-01-091-01</t>
  </si>
  <si>
    <t>263,84
47,94</t>
  </si>
  <si>
    <t>39,73
0,46</t>
  </si>
  <si>
    <t>10.149 Антисептическая обработка деревянных конструкций составом 'Пирилакс': ОЗП=16,9; ЭМ=11,4; ЗПМ=16,9; МАТ=10,79</t>
  </si>
  <si>
    <t>12654
220</t>
  </si>
  <si>
    <t>5,1
0,04</t>
  </si>
  <si>
    <t>114,04
0,89</t>
  </si>
  <si>
    <t>Антисептическая обработка деревянных конструкций составом "Пирилакс" при помощи аппарата аэрозольно-капельного распыления</t>
  </si>
  <si>
    <t>100 м2 обрабатываемой поверхности</t>
  </si>
  <si>
    <t>ФЕР12-01-023-02</t>
  </si>
  <si>
    <t>6,529
5,87+0,351+0,308</t>
  </si>
  <si>
    <t>10417,47
356,23</t>
  </si>
  <si>
    <t>115,24
10,67</t>
  </si>
  <si>
    <t>12.51. Устройство кровли из металлочерепицы (с отделочным покрытием): ОЗП=16,9; ЭМ=11,31; ЗПМ=16,9; МАТ=3,48</t>
  </si>
  <si>
    <t>10631
1487</t>
  </si>
  <si>
    <t>41,23
0,79</t>
  </si>
  <si>
    <t>269,19
5,16</t>
  </si>
  <si>
    <t>Устройство кровли из металлочерепицы по готовым прогонам: средней сложности</t>
  </si>
  <si>
    <t>ФССЦ-101-4136</t>
  </si>
  <si>
    <t>Металлочерепица «Монтеррей»; МАТ=3,676</t>
  </si>
  <si>
    <t>Металлочерепица «Монтеррей»</t>
  </si>
  <si>
    <t>ФССЦ-101-3845</t>
  </si>
  <si>
    <t>5,35931
587*8,3*1,1/1000</t>
  </si>
  <si>
    <t>Профилированный лист оцинкованный: НС44-1000-0,7; МАТ=4,534</t>
  </si>
  <si>
    <t>Профилированный лист оцинкованный: НС44-1000-0,7</t>
  </si>
  <si>
    <t>ФССЦ-101-2778</t>
  </si>
  <si>
    <t>66,4
48,3+18,1</t>
  </si>
  <si>
    <t>Сталь листовая оцинкованная толщиной листа: 0,5 мм; МАТ=5,527</t>
  </si>
  <si>
    <t>Сталь листовая оцинкованная толщиной листа: 0,5 мм конек+ ендовы</t>
  </si>
  <si>
    <t>ФССЦ-101-3741</t>
  </si>
  <si>
    <t>Сталь листовая оцинкованная толщиной листа: 0,55 мм; МАТ=3,993</t>
  </si>
  <si>
    <t>Сталь листовая оцинкованная толщиной листа: 0,55 мм</t>
  </si>
  <si>
    <t>ФЕР09-05-006-01</t>
  </si>
  <si>
    <t>3,6
3,05</t>
  </si>
  <si>
    <t>9.74 Резка стального профилированного настила: ОЗП=16,9; ЭМ=2,04; ЗПМ=16,9</t>
  </si>
  <si>
    <t>Резка стального профилированного настила</t>
  </si>
  <si>
    <t>1 м реза</t>
  </si>
  <si>
    <t>ФЕР12-01-012-01</t>
  </si>
  <si>
    <t>3147,39
59,1</t>
  </si>
  <si>
    <t>55,38
3,92</t>
  </si>
  <si>
    <t>12.29. Ограждение кровель перилами: ОЗП=16,9; ЭМ=10,11; ЗПМ=16,9; МАТ=7,51</t>
  </si>
  <si>
    <t>768
85</t>
  </si>
  <si>
    <t>6,67
0,29</t>
  </si>
  <si>
    <t>7,39
0,32</t>
  </si>
  <si>
    <t>Ограждение кровель перилами</t>
  </si>
  <si>
    <t>100 м ограждения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</si>
  <si>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</si>
  <si>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</si>
  <si>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</si>
  <si>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546
68</t>
  </si>
  <si>
    <t>5,2
0,23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</si>
  <si>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</si>
  <si>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</si>
  <si>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</si>
  <si>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1800/1,18/3/5,56=91,45</t>
  </si>
  <si>
    <t>м</t>
  </si>
  <si>
    <t>162
17</t>
  </si>
  <si>
    <t>1,53
0,07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</si>
  <si>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</si>
  <si>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</si>
  <si>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</si>
  <si>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МАТ=6,919</t>
  </si>
  <si>
    <t>Трос стальной</t>
  </si>
  <si>
    <t>ФССЦ-201-0778</t>
  </si>
  <si>
    <t>0,00162
0,00009*18</t>
  </si>
  <si>
    <t>Прочие индивидуальные сварные конструкции, масса сбор.единицы до 0.1 т; МАТ=7,281</t>
  </si>
  <si>
    <t>Прочие индивидуальные сварные конструкции, масса сборочной единицы до 0,1 т</t>
  </si>
  <si>
    <t>0,8
0,03</t>
  </si>
  <si>
    <t>Устройство переходных лестниц  на кровле</t>
  </si>
  <si>
    <t>Лестница кровельная длиной 1860 мм 2200/1,18/1,86/5,56=180,28</t>
  </si>
  <si>
    <t>0,025
0,0125*2</t>
  </si>
  <si>
    <t>0,17
0,01</t>
  </si>
  <si>
    <t>Устройство переходных мостиков  на кровле</t>
  </si>
  <si>
    <t>Прайс  Руффо</t>
  </si>
  <si>
    <t>Переходный мостик 1250 мм 2250/1,18/5,56=342,95</t>
  </si>
  <si>
    <t>шт</t>
  </si>
  <si>
    <t>ФЕР13-03-002-04</t>
  </si>
  <si>
    <t>268,7
56,55</t>
  </si>
  <si>
    <t>9,43
0,1</t>
  </si>
  <si>
    <t>13.39. Огрунтовка металлических поверхностей за один раз: грунтовкой ГФ-021: ОЗП=16,9; ЭМ=10,97; ЗПМ=16,9; МАТ=4,27</t>
  </si>
  <si>
    <t>5,31
0,01</t>
  </si>
  <si>
    <t>Огрунтовка металлических поверхностей за один раз: грунтовкой ГФ-021</t>
  </si>
  <si>
    <t>100 м2 окрашиваемой поверхности</t>
  </si>
  <si>
    <t>ФЕР13-03-004-26
ПЗ=2
ОЗП=2
ЭМ=2
ЗПМ=2
МАТ=2
ТЗ=2
ТЗМ=2</t>
  </si>
  <si>
    <t>644,48
69,48</t>
  </si>
  <si>
    <t>12,44
0,2</t>
  </si>
  <si>
    <t>13.100 Окраска металлических огрунтованных поверхностей: эмалью ПФ-115: ОЗП=16,9; ЭМ=10,78; ЗПМ=16,9; МАТ=4,94</t>
  </si>
  <si>
    <t>7,66
0,02</t>
  </si>
  <si>
    <t>2,4
0,01</t>
  </si>
  <si>
    <t>(За 2 раза ПЗ=2 (ОЗП=2; ЭМ=2 к расх.; ЗПМ=2; МАТ=2 к расх.; ТЗ=2; ТЗМ=2))</t>
  </si>
  <si>
    <t>Окраска металлических огрунтованных поверхностей: эмалью ПФ-115</t>
  </si>
  <si>
    <t>3065
170</t>
  </si>
  <si>
    <t>1328,51
12,78</t>
  </si>
  <si>
    <t>3773
206</t>
  </si>
  <si>
    <t>1499,46
15,41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</si>
  <si>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40, 47, 51, 54-55, 61, 63, 66, 70, 73, 60, 76-77)</t>
  </si>
  <si>
    <t>707
35</t>
  </si>
  <si>
    <t>170,946
2,62</t>
  </si>
  <si>
    <t>41766
3482</t>
  </si>
  <si>
    <t>Итого по разделу 3 Крыша</t>
  </si>
  <si>
    <t>Раздел 4. Вентиляционные шахты</t>
  </si>
  <si>
    <t>ФЕР09-06-033-01
прим.</t>
  </si>
  <si>
    <t>837,35
328,75</t>
  </si>
  <si>
    <t>124,78
4,46</t>
  </si>
  <si>
    <t>9.88 Монтаж каркасов и стволов вытяжных, вентиляционных и дымовых труб, опор башенного и портального типов: ОЗП=16,9; ЭМ=11,56; ЗПМ=16,9; МАТ=5,65</t>
  </si>
  <si>
    <t>520
17</t>
  </si>
  <si>
    <t>33,14
0,33</t>
  </si>
  <si>
    <t>9,61
0,1</t>
  </si>
  <si>
    <t>Монтаж каркасов вытяжных, вентиляционных и дымовых труб высотой до 250 м</t>
  </si>
  <si>
    <t>ФССЦ-201-0755</t>
  </si>
  <si>
    <t>Отдельные конструктивные элементы зданий и сооружений с преобладанием горячекатаных профилей, средняя масса сборочной единицы до 0.1 т; МАТ=9,492</t>
  </si>
  <si>
    <t>Отдельные конструктивные элементы зданий и сооружений с преобладанием: горячекатаных профилей, средняя масса сборочной единицы до 0,1 т</t>
  </si>
  <si>
    <t>ФССЦ-201-0796</t>
  </si>
  <si>
    <t>Профиль направляющий ПН-6 100/40/0,6; МАТ=5,821</t>
  </si>
  <si>
    <t>Профиль направляющий: ПН-6 100/40/0,6</t>
  </si>
  <si>
    <t>ФЕР26-01-054-01
МАТ=0</t>
  </si>
  <si>
    <t>326,9
276,31</t>
  </si>
  <si>
    <t>26.71 Обертывание поверхности изоляции рулонными материалами насухо с проклейкой швов: ОЗП=16,9; ЭМ=10,73; ЗПМ=16,9; МАТ=9,72</t>
  </si>
  <si>
    <t>НР 77%=100%*(0,85*0,9) от ФОТ</t>
  </si>
  <si>
    <t>(материалы МАТ=0 к расх.)</t>
  </si>
  <si>
    <t>Обертывание поверхности изоляции рулонными материалами насухо с проклейкой швов</t>
  </si>
  <si>
    <t>100 м2 поверхности покрытия изоляции</t>
  </si>
  <si>
    <t>ФССЦ-104-9221-90002</t>
  </si>
  <si>
    <t>32,01
29,1*1,1</t>
  </si>
  <si>
    <t>2,781
2,7*1,03</t>
  </si>
  <si>
    <t>ФЕР26-01-053-01</t>
  </si>
  <si>
    <t>10359,57
1265,72</t>
  </si>
  <si>
    <t>26.69 Покрытие изоляции плоских (криволинейных) поверхностей листовым металлом с заготовкой покрытия: ОЗП=16,9; ЭМ=8,15; ЗПМ=16,9; МАТ=3,77</t>
  </si>
  <si>
    <t>Покрытие изоляции плоских (криволинейных) поверхностей листовым металлом с заготовкой покрытия</t>
  </si>
  <si>
    <t>ФССЦ-101-1876</t>
  </si>
  <si>
    <t>Сталь листовая оцинкованная толщиной листа:0,8 мм; МАТ=3,776</t>
  </si>
  <si>
    <t>Сталь листовая оцинкованная толщиной листа: 0,8 мм</t>
  </si>
  <si>
    <t>ФЕР20-02-010-05</t>
  </si>
  <si>
    <t>30,82
20,11</t>
  </si>
  <si>
    <t>20.25 Установка зонтов над шахтами из листовой и оцинкованной стали: ОЗП=16,9; ЭМ=7,61; ЗПМ=16,9; МАТ=5,89</t>
  </si>
  <si>
    <t>Установка зонтов над шахтами из листовой стали прямоугольного сечения периметром : 2600 мм</t>
  </si>
  <si>
    <t>1 зонт</t>
  </si>
  <si>
    <t>ФССЦ-301-0292</t>
  </si>
  <si>
    <t>Зонты вентиляционных систем из листовой оцинкованной стали, прямоугольные, периметром шахты 2600 мм; МАТ=4,598</t>
  </si>
  <si>
    <t>Зонты вентиляционных систем из листовой оцинкованной стали: прямоугольные, периметром шахты 2600 мм</t>
  </si>
  <si>
    <t>369
1</t>
  </si>
  <si>
    <t>101,72
0,1</t>
  </si>
  <si>
    <t>462
1</t>
  </si>
  <si>
    <t>116,98
0,13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</si>
  <si>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78, 81, 84, 87)</t>
  </si>
  <si>
    <t>15,258
0,025</t>
  </si>
  <si>
    <t>3953
17</t>
  </si>
  <si>
    <t>Итого по разделу 4 Вентиляционные шахты</t>
  </si>
  <si>
    <t>Раздел 5. Утепление фановых труб - 5 шт</t>
  </si>
  <si>
    <t>ФЕР16-04-001-02</t>
  </si>
  <si>
    <t>0,255
0,0425*6</t>
  </si>
  <si>
    <t>7784,49
611,07</t>
  </si>
  <si>
    <t>6,58
0,68</t>
  </si>
  <si>
    <t>61,6
0,05</t>
  </si>
  <si>
    <t>15,71
0,01</t>
  </si>
  <si>
    <t>Прокладка трубопроводов канализации из полиэтиленовых труб высокой плотности диаметром: 110 мм</t>
  </si>
  <si>
    <t>ФЕР26-01-055-02</t>
  </si>
  <si>
    <t>0,072
0,012*6</t>
  </si>
  <si>
    <t>1532,98
125,51</t>
  </si>
  <si>
    <t>26.74 Установка пароизоляционного слоя из пленки полиэтиленовой: ОЗП=16,9; ЭМ=11,82; ЗПМ=16,9; МАТ=2,49</t>
  </si>
  <si>
    <t>Установка пароизоляционного слоя из: пленки полиэтиленовой (без стекловолокнистых материалов)</t>
  </si>
  <si>
    <t>ФССЦ-113-1952</t>
  </si>
  <si>
    <t>Пленка полиэтиленовая толщиной 0,2-0,5 мм, изоловая; МАТ=1,222</t>
  </si>
  <si>
    <t>Пленка полиэтиленовая толщиной: 0,2-0,5 мм, изоловая</t>
  </si>
  <si>
    <t>ФССЦ-104-9242-90005</t>
  </si>
  <si>
    <t>43,26
42*1,03</t>
  </si>
  <si>
    <t>Утеплитель URSA: М 15, толщиной 50 мм 94,37/5,56=16,97</t>
  </si>
  <si>
    <t>ФЕР26-01-054-01
ПЗ=2
ОЗП=2
ЭМ=2
ЗПМ=2
МАТ=2*0
ТЗ=2
ТЗМ=2</t>
  </si>
  <si>
    <t>653,8
552,62</t>
  </si>
  <si>
    <t>(В 2 слоя ПЗ=2 (ОЗП=2; ЭМ=2 к расх.; ЗПМ=2; МАТ=2 к расх.; ТЗ=2; ТЗМ=2);
материалы МАТ=0 к расх.)</t>
  </si>
  <si>
    <t>ФССЦ-104-0090</t>
  </si>
  <si>
    <t>0,04158
0,0189*2*1,1</t>
  </si>
  <si>
    <t>Ткань стеклянная конструкционная марки:Т-13; МАТ=2,216</t>
  </si>
  <si>
    <t>Ткань стеклянная конструкционная марки: Т-13</t>
  </si>
  <si>
    <t>1000 м2</t>
  </si>
  <si>
    <t>79,09
0,01</t>
  </si>
  <si>
    <t>90,95
0,01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</si>
  <si>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89-90, 94, 96, 98)</t>
  </si>
  <si>
    <t>11,8635
0,0025</t>
  </si>
  <si>
    <t>Итого по разделу 5 Утепление фановых труб - 5 шт</t>
  </si>
  <si>
    <t>Раздел 6. Монтажные работы</t>
  </si>
  <si>
    <t>ФЕРм08-02-472-08</t>
  </si>
  <si>
    <t>541,57
188,94</t>
  </si>
  <si>
    <t>51,62
1,49</t>
  </si>
  <si>
    <t>55.350 Проводник заземляющий открыто по строительным основаниям: ОЗП=16,9; ЭМ=8,51; ЗПМ=16,9; МАТ=3,52</t>
  </si>
  <si>
    <t>740
51</t>
  </si>
  <si>
    <t>20,1
0,11</t>
  </si>
  <si>
    <t>33,97
0,19</t>
  </si>
  <si>
    <t>НР 81%=95%*0,85 от ФОТ</t>
  </si>
  <si>
    <t>Проводник заземляющий открыто по строительным основаниям: из круглой стали диаметром 8 мм</t>
  </si>
  <si>
    <t>100 м</t>
  </si>
  <si>
    <t>6,43
0,04</t>
  </si>
  <si>
    <t>ФССЦ-101-1627</t>
  </si>
  <si>
    <t>-0,1956
-0,0676-0,128</t>
  </si>
  <si>
    <t>Сталь листовая углеродистая обыкновенного качества марки ВСт3пс5 толщиной:4-6 мм; МАТ=5,035</t>
  </si>
  <si>
    <t>Сталь листовая углеродистая обыкновенного качества марки ВСт3пс5 толщиной: 4-6 мм</t>
  </si>
  <si>
    <t>ФССЦ-101-1613</t>
  </si>
  <si>
    <t>0,0794
0,01264+0,06676</t>
  </si>
  <si>
    <t>Сталь круглая углеродистая обыкновенного качества марки ВСт3пс5-1 диаметром:8 мм; МАТ=4,997</t>
  </si>
  <si>
    <t>Сталь круглая углеродистая обыкновенного качества марки ВСт3пс5-1 диаметром: 8 мм</t>
  </si>
  <si>
    <t>ФЕРм08-02-472-09</t>
  </si>
  <si>
    <t>1,27
1,17+0,1</t>
  </si>
  <si>
    <t>374,79
200,22</t>
  </si>
  <si>
    <t>69,36
2,57</t>
  </si>
  <si>
    <t>749
51</t>
  </si>
  <si>
    <t>21,3
0,19</t>
  </si>
  <si>
    <t>27,05
0,24</t>
  </si>
  <si>
    <t>Проводник заземляющий открыто по строительным основаниям: из круглой стали диаметром 12 мм</t>
  </si>
  <si>
    <t>ФССЦ-101-1619</t>
  </si>
  <si>
    <t>Сталь круглая углеродистая обыкновенного качества марки ВСт3пс5-1 диаметром 18 мм; МАТ=4,865</t>
  </si>
  <si>
    <t>Сталь круглая углеродистая обыкновенного качества марки ВСт3пс5-1 диаметром: 18 мм</t>
  </si>
  <si>
    <t>ФЕРм08-02-471-04</t>
  </si>
  <si>
    <t>155,02
77,93</t>
  </si>
  <si>
    <t>51,63
1,89</t>
  </si>
  <si>
    <t>55.347 Заземлители: ОЗП=16,9; ЭМ=8,89; ЗПМ=16,9; МАТ=3,6</t>
  </si>
  <si>
    <t>187
17</t>
  </si>
  <si>
    <t>8,29
0,14</t>
  </si>
  <si>
    <t>3,32
0,06</t>
  </si>
  <si>
    <t>Заземлитель вертикальный из круглой стали диаметром: 16 мм</t>
  </si>
  <si>
    <t>10 шт.</t>
  </si>
  <si>
    <t>ФЕРм08-02-472-07</t>
  </si>
  <si>
    <t>389,46
200,22</t>
  </si>
  <si>
    <t>82,67
3,38</t>
  </si>
  <si>
    <t>21,3
0,25</t>
  </si>
  <si>
    <t>2,22
0,03</t>
  </si>
  <si>
    <t>Проводник заземляющий открыто по строительным основаниям: из полосовой стали сечением 160 мм2</t>
  </si>
  <si>
    <t>ФЕРп01-11-010-01</t>
  </si>
  <si>
    <t>15,62
15,62</t>
  </si>
  <si>
    <t>Индекс на пусконаладочные работы: ОЗП=16,9</t>
  </si>
  <si>
    <t>НР 55%=65%*0,85 от ФОТ</t>
  </si>
  <si>
    <t>СП 32%=40%*0,8 от ФОТ</t>
  </si>
  <si>
    <t>Измерение сопротивления растеканию тока: заземлителя</t>
  </si>
  <si>
    <t>1 измерение</t>
  </si>
  <si>
    <t>ФЕРм10-05-001-04</t>
  </si>
  <si>
    <t>251,26
246,33</t>
  </si>
  <si>
    <t>57.204 Настройка крупных систем коллективного приёма телевидения (КСКПТ): ОЗП=16,9; МАТ=5,56</t>
  </si>
  <si>
    <t>НР 78%=92%*0,85 от ФОТ</t>
  </si>
  <si>
    <t>Замена существующей антенны с демонтажом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</t>
  </si>
  <si>
    <t>1 антенна</t>
  </si>
  <si>
    <t>222
7</t>
  </si>
  <si>
    <t>121,81
0,56</t>
  </si>
  <si>
    <t>1898
119</t>
  </si>
  <si>
    <t>Итого по разделу 6 Монтажные работы</t>
  </si>
  <si>
    <t>Раздел 7. Вывоз мусора</t>
  </si>
  <si>
    <t>ФССЦпг01-01-01-041</t>
  </si>
  <si>
    <t>42,98
42,98</t>
  </si>
  <si>
    <t>Мусор строительный, вручную: погрузка: ОЗП=11,13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</si>
  <si>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</si>
  <si>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</si>
  <si>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</si>
  <si>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</si>
  <si>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ФССЦпг01-01-01-045</t>
  </si>
  <si>
    <t>Прочие материалы, конструкции и детали (с использованием погрузчика): погрузка; ЭМ=11,29</t>
  </si>
  <si>
    <t>Погрузочные работы при автомобильных перевозках: прочих материалов, деталей (с использованием погрузчика)</t>
  </si>
  <si>
    <t>ФССЦпг03-21-01-015</t>
  </si>
  <si>
    <t>Перевозка грузов автомобилями-самосвалами грузоподъемностью 10 т, работающих вне карьера, на расстояние: до 15 км.: I класс груза; ЭМ=9,84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</si>
  <si>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</si>
  <si>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7 Вывоз мусора</t>
  </si>
  <si>
    <t>Итого прямые затраты по смете в ценах 2001г.</t>
  </si>
  <si>
    <t>10076
556</t>
  </si>
  <si>
    <t>2928,68
44,95</t>
  </si>
  <si>
    <t>Итого прямые затраты по смете с учетом коэффициентов к итогам</t>
  </si>
  <si>
    <t>11609
639</t>
  </si>
  <si>
    <t>3241,72
51,08</t>
  </si>
  <si>
    <t>Итого прямые затраты по смете с учетом индексов, в текущих ценах</t>
  </si>
  <si>
    <t>120625
10802</t>
  </si>
  <si>
    <t>Итоги по смете:</t>
  </si>
  <si>
    <t xml:space="preserve">  Итого Строительные работы</t>
  </si>
  <si>
    <t>3119,91
50,52</t>
  </si>
  <si>
    <t xml:space="preserve">  Итого Монтажные работы</t>
  </si>
  <si>
    <t>120,59
0,56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</si>
  <si>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</si>
  <si>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</si>
  <si>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</si>
  <si>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</si>
  <si>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</si>
  <si>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</si>
  <si>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</si>
  <si>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</si>
  <si>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</si>
  <si>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3 кв. 2015 года</t>
  </si>
  <si>
    <t xml:space="preserve">на   ремонт крыши </t>
  </si>
  <si>
    <t>Капитальный ремонт крыши в многоквартирном доме, расположенном по адресу: Томская область, г. Томск, ул. Л. Толстого, д. 44</t>
  </si>
  <si>
    <t>Составила:____________________________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</si>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</sst>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9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9" applyFont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1" xfId="3" applyFont="1" applyBorder="1" applyAlignment="1">
      <alignment horizontal="right" vertical="top" wrapText="1"/>
    </xf>
    <xf numFmtId="0" fontId="2" fillId="0" borderId="1" xfId="3" applyFont="1" applyBorder="1" applyAlignment="1">
      <alignment horizontal="right" vertical="top" wrapText="1"/>
    </xf>
    <xf numFmtId="0" fontId="1" fillId="0" borderId="1" xfId="3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206"/>
  <sheetViews>
    <sheetView showGridLines="0" tabSelected="1" zoomScale="101" zoomScaleNormal="101" workbookViewId="0">
      <selection activeCell="I11" sqref="I11:N13"/>
    </sheetView>
  </sheetViews>
  <sheetFormatPr defaultRowHeight="12.75" x14ac:dyDescent="0.2"/>
  <cols>
    <col min="1" max="1" width="3.42578125" style="3" customWidth="1"/>
    <col min="2" max="2" width="14.42578125" style="3" customWidth="1"/>
    <col min="3" max="3" width="41.7109375" style="3" customWidth="1"/>
    <col min="4" max="4" width="6.85546875" style="3" customWidth="1"/>
    <col min="5" max="5" width="9.7109375" style="35" customWidth="1"/>
    <col min="6" max="6" width="8.85546875" style="35" customWidth="1"/>
    <col min="7" max="7" width="0.140625" style="35" hidden="1" customWidth="1"/>
    <col min="8" max="8" width="25.28515625" style="35" customWidth="1"/>
    <col min="9" max="9" width="9.7109375" style="35" customWidth="1"/>
    <col min="10" max="10" width="8.140625" style="35" customWidth="1"/>
    <col min="11" max="11" width="8.7109375" style="35" customWidth="1"/>
    <col min="12" max="12" width="8.85546875" style="35" hidden="1" customWidth="1"/>
    <col min="13" max="13" width="7.7109375" style="35" customWidth="1"/>
    <col min="14" max="14" width="8" style="2" customWidth="1"/>
    <col min="15" max="15" width="9.140625" style="2"/>
    <col min="16" max="16" width="19.7109375" style="2" customWidth="1"/>
    <col min="17" max="26" width="9.140625" style="2"/>
    <col min="27" max="34" width="30.7109375" style="2" customWidth="1"/>
    <col min="35" max="35" width="31.5703125" style="2" customWidth="1"/>
    <col min="36" max="16384" width="9.140625" style="2"/>
  </cols>
  <sheetData>
    <row r="1" spans="1:14" s="1" customFormat="1" x14ac:dyDescent="0.2">
      <c r="A1" s="15"/>
      <c r="B1" s="20"/>
      <c r="C1" s="15"/>
      <c r="E1" s="21"/>
      <c r="F1" s="22" t="s">
        <v>578</v>
      </c>
      <c r="G1" s="21"/>
      <c r="H1" s="23"/>
      <c r="I1" s="15"/>
      <c r="J1" s="15"/>
      <c r="K1" s="15"/>
      <c r="L1" s="15"/>
      <c r="M1" s="15"/>
    </row>
    <row r="2" spans="1:14" s="1" customFormat="1" x14ac:dyDescent="0.2">
      <c r="A2" s="8" t="s">
        <v>5</v>
      </c>
      <c r="B2" s="20"/>
      <c r="D2" s="23"/>
      <c r="F2" s="24" t="s">
        <v>1</v>
      </c>
      <c r="G2" s="24"/>
      <c r="J2" s="8"/>
      <c r="L2" s="8"/>
      <c r="M2" s="15"/>
      <c r="N2" s="25" t="s">
        <v>6</v>
      </c>
    </row>
    <row r="3" spans="1:14" s="1" customFormat="1" x14ac:dyDescent="0.2">
      <c r="A3" s="26" t="s">
        <v>7</v>
      </c>
      <c r="E3" s="15"/>
      <c r="F3" s="15"/>
      <c r="G3" s="15"/>
      <c r="H3" s="15"/>
      <c r="J3" s="8"/>
      <c r="L3" s="8"/>
      <c r="M3" s="15"/>
      <c r="N3" s="27" t="s">
        <v>0</v>
      </c>
    </row>
    <row r="4" spans="1:14" s="1" customFormat="1" ht="51" customHeight="1" x14ac:dyDescent="0.2">
      <c r="A4" s="79" t="s">
        <v>25</v>
      </c>
      <c r="B4" s="79"/>
      <c r="C4" s="79"/>
      <c r="F4" s="28" t="s">
        <v>26</v>
      </c>
      <c r="G4" s="15"/>
      <c r="I4" s="80" t="s">
        <v>25</v>
      </c>
      <c r="J4" s="80"/>
      <c r="K4" s="80"/>
      <c r="L4" s="80"/>
      <c r="M4" s="80"/>
      <c r="N4" s="80"/>
    </row>
    <row r="5" spans="1:14" s="1" customFormat="1" x14ac:dyDescent="0.2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">
      <c r="A7" s="15"/>
      <c r="B7" s="15"/>
      <c r="C7" s="29"/>
      <c r="D7" s="30" t="s">
        <v>577</v>
      </c>
      <c r="E7" s="31"/>
      <c r="F7" s="31"/>
      <c r="G7" s="31"/>
      <c r="H7" s="31"/>
      <c r="I7" s="32"/>
      <c r="J7" s="32"/>
      <c r="K7" s="32"/>
      <c r="L7" s="32"/>
      <c r="M7" s="15"/>
    </row>
    <row r="8" spans="1:14" s="1" customFormat="1" x14ac:dyDescent="0.2">
      <c r="A8" s="15"/>
      <c r="B8" s="15"/>
      <c r="C8" s="15"/>
      <c r="D8" s="33" t="s">
        <v>21</v>
      </c>
      <c r="E8" s="24"/>
      <c r="F8" s="24"/>
      <c r="G8" s="24"/>
      <c r="I8" s="32"/>
      <c r="J8" s="32"/>
      <c r="K8" s="32"/>
      <c r="L8" s="32"/>
      <c r="M8" s="15"/>
    </row>
    <row r="9" spans="1:14" s="1" customFormat="1" ht="7.5" customHeight="1" x14ac:dyDescent="0.2">
      <c r="A9" s="34"/>
      <c r="B9" s="34"/>
      <c r="C9" s="15"/>
      <c r="E9" s="15"/>
      <c r="F9" s="15"/>
      <c r="G9" s="15"/>
      <c r="H9" s="15"/>
      <c r="I9" s="15"/>
      <c r="J9" s="15"/>
      <c r="M9" s="15"/>
    </row>
    <row r="10" spans="1:14" x14ac:dyDescent="0.2">
      <c r="A10" s="81" t="s">
        <v>27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x14ac:dyDescent="0.2">
      <c r="A11" s="6" t="s">
        <v>10</v>
      </c>
      <c r="B11" s="7"/>
      <c r="C11" s="82">
        <v>2646654</v>
      </c>
      <c r="D11" s="82"/>
      <c r="E11" s="82"/>
      <c r="F11" s="8" t="s">
        <v>9</v>
      </c>
      <c r="G11" s="9"/>
      <c r="H11" s="9"/>
      <c r="I11" s="96" t="s">
        <v>580</v>
      </c>
      <c r="J11" s="97"/>
      <c r="K11" s="98"/>
      <c r="L11" s="98"/>
      <c r="M11" s="98"/>
      <c r="N11" s="98"/>
    </row>
    <row r="12" spans="1:14" x14ac:dyDescent="0.2">
      <c r="A12" s="6" t="s">
        <v>20</v>
      </c>
      <c r="B12" s="7"/>
      <c r="C12" s="10"/>
      <c r="D12" s="83">
        <v>495178</v>
      </c>
      <c r="E12" s="83"/>
      <c r="F12" s="8" t="s">
        <v>9</v>
      </c>
      <c r="G12" s="9"/>
      <c r="H12" s="9"/>
      <c r="I12" s="97"/>
      <c r="J12" s="97"/>
      <c r="K12" s="98"/>
      <c r="L12" s="98"/>
      <c r="M12" s="98"/>
      <c r="N12" s="98"/>
    </row>
    <row r="13" spans="1:14" x14ac:dyDescent="0.2">
      <c r="A13" s="6" t="s">
        <v>576</v>
      </c>
      <c r="B13" s="2"/>
      <c r="C13" s="11"/>
      <c r="D13" s="12"/>
      <c r="E13" s="13"/>
      <c r="F13" s="36"/>
      <c r="G13" s="14"/>
      <c r="H13" s="14"/>
      <c r="I13" s="98"/>
      <c r="J13" s="98"/>
      <c r="K13" s="98"/>
      <c r="L13" s="98"/>
      <c r="M13" s="98"/>
      <c r="N13" s="98"/>
    </row>
    <row r="14" spans="1:14" ht="11.25" customHeight="1" x14ac:dyDescent="0.2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">
      <c r="A15" s="75" t="s">
        <v>3</v>
      </c>
      <c r="B15" s="75" t="s">
        <v>17</v>
      </c>
      <c r="C15" s="77" t="s">
        <v>22</v>
      </c>
      <c r="D15" s="77" t="s">
        <v>18</v>
      </c>
      <c r="E15" s="88" t="s">
        <v>23</v>
      </c>
      <c r="F15" s="89"/>
      <c r="G15" s="90"/>
      <c r="H15" s="77" t="s">
        <v>4</v>
      </c>
      <c r="I15" s="88" t="s">
        <v>24</v>
      </c>
      <c r="J15" s="94"/>
      <c r="K15" s="94"/>
      <c r="L15" s="85"/>
      <c r="M15" s="84" t="s">
        <v>19</v>
      </c>
      <c r="N15" s="85"/>
    </row>
    <row r="16" spans="1:14" s="4" customFormat="1" ht="38.25" customHeight="1" x14ac:dyDescent="0.2">
      <c r="A16" s="78"/>
      <c r="B16" s="78"/>
      <c r="C16" s="78"/>
      <c r="D16" s="78"/>
      <c r="E16" s="91"/>
      <c r="F16" s="92"/>
      <c r="G16" s="93"/>
      <c r="H16" s="78"/>
      <c r="I16" s="86"/>
      <c r="J16" s="95"/>
      <c r="K16" s="95"/>
      <c r="L16" s="87"/>
      <c r="M16" s="86"/>
      <c r="N16" s="87"/>
    </row>
    <row r="17" spans="1:35" s="4" customFormat="1" ht="12.75" customHeight="1" x14ac:dyDescent="0.2">
      <c r="A17" s="78"/>
      <c r="B17" s="78"/>
      <c r="C17" s="78"/>
      <c r="D17" s="78"/>
      <c r="E17" s="37" t="s">
        <v>12</v>
      </c>
      <c r="F17" s="37" t="s">
        <v>14</v>
      </c>
      <c r="G17" s="77" t="s">
        <v>16</v>
      </c>
      <c r="H17" s="78"/>
      <c r="I17" s="77" t="s">
        <v>12</v>
      </c>
      <c r="J17" s="77" t="s">
        <v>15</v>
      </c>
      <c r="K17" s="37" t="s">
        <v>14</v>
      </c>
      <c r="L17" s="77" t="s">
        <v>16</v>
      </c>
      <c r="M17" s="75" t="s">
        <v>8</v>
      </c>
      <c r="N17" s="77" t="s">
        <v>12</v>
      </c>
    </row>
    <row r="18" spans="1:35" s="4" customFormat="1" ht="11.25" customHeight="1" x14ac:dyDescent="0.2">
      <c r="A18" s="76"/>
      <c r="B18" s="76"/>
      <c r="C18" s="76"/>
      <c r="D18" s="76"/>
      <c r="E18" s="38" t="s">
        <v>11</v>
      </c>
      <c r="F18" s="37" t="s">
        <v>13</v>
      </c>
      <c r="G18" s="76"/>
      <c r="H18" s="76"/>
      <c r="I18" s="76"/>
      <c r="J18" s="76"/>
      <c r="K18" s="37" t="s">
        <v>13</v>
      </c>
      <c r="L18" s="76"/>
      <c r="M18" s="76"/>
      <c r="N18" s="76"/>
    </row>
    <row r="19" spans="1:35" x14ac:dyDescent="0.2">
      <c r="A19" s="42">
        <v>1</v>
      </c>
      <c r="B19" s="42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7</v>
      </c>
      <c r="I19" s="42">
        <v>8</v>
      </c>
      <c r="J19" s="42">
        <v>9</v>
      </c>
      <c r="K19" s="42">
        <v>10</v>
      </c>
      <c r="L19" s="42">
        <v>12</v>
      </c>
      <c r="M19" s="42">
        <v>11</v>
      </c>
      <c r="N19" s="42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3"/>
      <c r="AB19" s="44"/>
      <c r="AC19" s="44"/>
      <c r="AD19" s="44"/>
      <c r="AE19" s="44"/>
      <c r="AF19" s="45"/>
      <c r="AG19" s="44"/>
      <c r="AH19" s="44"/>
      <c r="AI19" s="44"/>
    </row>
    <row r="20" spans="1:35" ht="21" customHeight="1" x14ac:dyDescent="0.2">
      <c r="A20" s="70" t="s">
        <v>29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ht="114.75" x14ac:dyDescent="0.2">
      <c r="A21" s="46">
        <v>1</v>
      </c>
      <c r="B21" s="47" t="s">
        <v>30</v>
      </c>
      <c r="C21" s="48" t="str">
        <f t="shared" ref="C21:C30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
100 м2 покрытия
10335 руб. НР 84%=110%*(0,85*0,9) от ФОТ (12303 руб.)
5905 руб.СП 48%=70%*(0,8*0,85) от ФОТ (12303 руб.)
</v>
      </c>
      <c r="D21" s="46">
        <v>5.87</v>
      </c>
      <c r="E21" s="49" t="s">
        <v>31</v>
      </c>
      <c r="F21" s="49">
        <v>30.64</v>
      </c>
      <c r="G21" s="49"/>
      <c r="H21" s="50" t="s">
        <v>32</v>
      </c>
      <c r="I21" s="51">
        <v>12841</v>
      </c>
      <c r="J21" s="49">
        <v>12303</v>
      </c>
      <c r="K21" s="49">
        <v>538</v>
      </c>
      <c r="L21" s="49" t="str">
        <f>IF(5.87*0=0," ",TEXT(,ROUND((5.87*0*1),2)))</f>
        <v xml:space="preserve"> </v>
      </c>
      <c r="M21" s="49">
        <v>15.9</v>
      </c>
      <c r="N21" s="49">
        <v>93.33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 t="s">
        <v>33</v>
      </c>
      <c r="AB21" s="53" t="s">
        <v>34</v>
      </c>
      <c r="AC21" s="53">
        <v>10335</v>
      </c>
      <c r="AD21" s="53">
        <v>5905</v>
      </c>
      <c r="AE21" s="53"/>
      <c r="AF21" s="54" t="s">
        <v>35</v>
      </c>
      <c r="AG21" s="53" t="s">
        <v>36</v>
      </c>
      <c r="AH21" s="53"/>
      <c r="AI21" s="53">
        <f>12303+0</f>
        <v>12303</v>
      </c>
    </row>
    <row r="22" spans="1:35" ht="89.25" x14ac:dyDescent="0.2">
      <c r="A22" s="46">
        <v>2</v>
      </c>
      <c r="B22" s="47" t="s">
        <v>37</v>
      </c>
      <c r="C22" s="48" t="str">
        <f t="shared" ca="1" si="0"/>
        <v xml:space="preserve">Разборка покрытий кровель: из листовой стали
100 м2 покрытия
284 руб. НР 84%=110%*(0,85*0,9) от ФОТ (338 руб.)
162 руб.СП 48%=70%*(0,8*0,85) от ФОТ (338 руб.)
</v>
      </c>
      <c r="D22" s="46">
        <v>0.30080000000000001</v>
      </c>
      <c r="E22" s="49" t="s">
        <v>38</v>
      </c>
      <c r="F22" s="49">
        <v>12.52</v>
      </c>
      <c r="G22" s="49"/>
      <c r="H22" s="50" t="s">
        <v>32</v>
      </c>
      <c r="I22" s="51">
        <v>350</v>
      </c>
      <c r="J22" s="49">
        <v>338</v>
      </c>
      <c r="K22" s="49">
        <v>12</v>
      </c>
      <c r="L22" s="49" t="str">
        <f>IF(0.3008*0=0," ",TEXT(,ROUND((0.3008*0*1),2)))</f>
        <v xml:space="preserve"> </v>
      </c>
      <c r="M22" s="49">
        <v>8.58</v>
      </c>
      <c r="N22" s="49">
        <v>2.58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 t="s">
        <v>33</v>
      </c>
      <c r="AB22" s="53" t="s">
        <v>34</v>
      </c>
      <c r="AC22" s="53">
        <v>284</v>
      </c>
      <c r="AD22" s="53">
        <v>162</v>
      </c>
      <c r="AE22" s="53"/>
      <c r="AF22" s="54" t="s">
        <v>39</v>
      </c>
      <c r="AG22" s="53" t="s">
        <v>36</v>
      </c>
      <c r="AH22" s="53"/>
      <c r="AI22" s="53">
        <f>338+0</f>
        <v>338</v>
      </c>
    </row>
    <row r="23" spans="1:35" ht="102" x14ac:dyDescent="0.2">
      <c r="A23" s="46">
        <v>3</v>
      </c>
      <c r="B23" s="47" t="s">
        <v>40</v>
      </c>
      <c r="C23" s="48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744 руб. НР 71%=83%*0,85 от ФОТ (1048 руб.)
545 руб.СП 52%=65%*0,8 от ФОТ (1048 руб.)
</v>
      </c>
      <c r="D23" s="46">
        <v>0.88</v>
      </c>
      <c r="E23" s="49" t="s">
        <v>41</v>
      </c>
      <c r="F23" s="49">
        <v>0.2</v>
      </c>
      <c r="G23" s="49"/>
      <c r="H23" s="50" t="s">
        <v>42</v>
      </c>
      <c r="I23" s="51">
        <v>1049</v>
      </c>
      <c r="J23" s="49">
        <v>1048</v>
      </c>
      <c r="K23" s="49"/>
      <c r="L23" s="49" t="str">
        <f>IF(0.88*0=0," ",TEXT(,ROUND((0.88*0*1),2)))</f>
        <v xml:space="preserve"> </v>
      </c>
      <c r="M23" s="49">
        <v>9.1</v>
      </c>
      <c r="N23" s="49">
        <v>8.01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 t="s">
        <v>43</v>
      </c>
      <c r="AB23" s="53" t="s">
        <v>44</v>
      </c>
      <c r="AC23" s="53">
        <v>744</v>
      </c>
      <c r="AD23" s="53">
        <v>545</v>
      </c>
      <c r="AE23" s="53"/>
      <c r="AF23" s="54" t="s">
        <v>45</v>
      </c>
      <c r="AG23" s="53" t="s">
        <v>46</v>
      </c>
      <c r="AH23" s="53"/>
      <c r="AI23" s="53">
        <f>1048+0</f>
        <v>1048</v>
      </c>
    </row>
    <row r="24" spans="1:35" ht="89.25" x14ac:dyDescent="0.2">
      <c r="A24" s="46">
        <v>4</v>
      </c>
      <c r="B24" s="47" t="s">
        <v>47</v>
      </c>
      <c r="C24" s="48" t="str">
        <f t="shared" ca="1" si="0"/>
        <v xml:space="preserve">Разборка слуховых окон: прямоугольных односкатных
100 окон
588 руб. НР 71%=83%*0,85 от ФОТ (828 руб.)
431 руб.СП 52%=65%*0,8 от ФОТ (828 руб.)
</v>
      </c>
      <c r="D24" s="46">
        <v>0.02</v>
      </c>
      <c r="E24" s="49" t="s">
        <v>48</v>
      </c>
      <c r="F24" s="49">
        <v>10.37</v>
      </c>
      <c r="G24" s="49"/>
      <c r="H24" s="50" t="s">
        <v>49</v>
      </c>
      <c r="I24" s="51">
        <v>828</v>
      </c>
      <c r="J24" s="49">
        <v>828</v>
      </c>
      <c r="K24" s="49"/>
      <c r="L24" s="49" t="str">
        <f>IF(0.02*0=0," ",TEXT(,ROUND((0.02*0*1),2)))</f>
        <v xml:space="preserve"> </v>
      </c>
      <c r="M24" s="49">
        <v>309.3</v>
      </c>
      <c r="N24" s="49">
        <v>6.19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3" t="s">
        <v>43</v>
      </c>
      <c r="AB24" s="53" t="s">
        <v>44</v>
      </c>
      <c r="AC24" s="53">
        <v>588</v>
      </c>
      <c r="AD24" s="53">
        <v>431</v>
      </c>
      <c r="AE24" s="53"/>
      <c r="AF24" s="54" t="s">
        <v>50</v>
      </c>
      <c r="AG24" s="53" t="s">
        <v>51</v>
      </c>
      <c r="AH24" s="53"/>
      <c r="AI24" s="53">
        <f>828+0</f>
        <v>828</v>
      </c>
    </row>
    <row r="25" spans="1:35" ht="89.25" x14ac:dyDescent="0.2">
      <c r="A25" s="46">
        <v>5</v>
      </c>
      <c r="B25" s="47" t="s">
        <v>52</v>
      </c>
      <c r="C25" s="48" t="str">
        <f t="shared" ca="1" si="0"/>
        <v xml:space="preserve">Разборка деревянных элементов конструкций крыш: обрешетки из брусков с прозорами
100 м2 кровли
8915 руб. НР 71%=83%*0,85 от ФОТ (12556 руб.)
6529 руб.СП 52%=65%*0,8 от ФОТ (12556 руб.)
</v>
      </c>
      <c r="D25" s="46">
        <v>5.87</v>
      </c>
      <c r="E25" s="49" t="s">
        <v>53</v>
      </c>
      <c r="F25" s="49" t="s">
        <v>54</v>
      </c>
      <c r="G25" s="49"/>
      <c r="H25" s="50" t="s">
        <v>55</v>
      </c>
      <c r="I25" s="51">
        <v>14772</v>
      </c>
      <c r="J25" s="49">
        <v>11948</v>
      </c>
      <c r="K25" s="49" t="s">
        <v>56</v>
      </c>
      <c r="L25" s="49" t="str">
        <f>IF(5.87*0=0," ",TEXT(,ROUND((5.87*0*1),2)))</f>
        <v xml:space="preserve"> </v>
      </c>
      <c r="M25" s="49" t="s">
        <v>57</v>
      </c>
      <c r="N25" s="49" t="s">
        <v>58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3" t="s">
        <v>43</v>
      </c>
      <c r="AB25" s="53" t="s">
        <v>44</v>
      </c>
      <c r="AC25" s="53">
        <v>8915</v>
      </c>
      <c r="AD25" s="53">
        <v>6529</v>
      </c>
      <c r="AE25" s="53"/>
      <c r="AF25" s="54" t="s">
        <v>59</v>
      </c>
      <c r="AG25" s="53" t="s">
        <v>60</v>
      </c>
      <c r="AH25" s="53"/>
      <c r="AI25" s="53">
        <f>11948+608</f>
        <v>12556</v>
      </c>
    </row>
    <row r="26" spans="1:35" ht="102" x14ac:dyDescent="0.2">
      <c r="A26" s="46">
        <v>6</v>
      </c>
      <c r="B26" s="47" t="s">
        <v>61</v>
      </c>
      <c r="C26" s="48" t="str">
        <f t="shared" ca="1" si="0"/>
        <v xml:space="preserve">Разборка деревянных элементов конструкций крыш: стропил со стойками и подкосами из досок
100 м2 кровли
13199 руб. НР 71%=83%*0,85 от ФОТ (18590 руб.)
9667 руб.СП 52%=65%*0,8 от ФОТ (18590 руб.)
</v>
      </c>
      <c r="D26" s="46">
        <v>5.87</v>
      </c>
      <c r="E26" s="49" t="s">
        <v>62</v>
      </c>
      <c r="F26" s="49" t="s">
        <v>63</v>
      </c>
      <c r="G26" s="49"/>
      <c r="H26" s="50" t="s">
        <v>55</v>
      </c>
      <c r="I26" s="51">
        <v>19983</v>
      </c>
      <c r="J26" s="49">
        <v>18201</v>
      </c>
      <c r="K26" s="49" t="s">
        <v>64</v>
      </c>
      <c r="L26" s="49" t="str">
        <f>IF(5.87*0=0," ",TEXT(,ROUND((5.87*0*1),2)))</f>
        <v xml:space="preserve"> </v>
      </c>
      <c r="M26" s="49" t="s">
        <v>65</v>
      </c>
      <c r="N26" s="49" t="s">
        <v>66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3" t="s">
        <v>43</v>
      </c>
      <c r="AB26" s="53" t="s">
        <v>44</v>
      </c>
      <c r="AC26" s="53">
        <v>13199</v>
      </c>
      <c r="AD26" s="53">
        <v>9667</v>
      </c>
      <c r="AE26" s="53"/>
      <c r="AF26" s="54" t="s">
        <v>67</v>
      </c>
      <c r="AG26" s="53" t="s">
        <v>60</v>
      </c>
      <c r="AH26" s="53"/>
      <c r="AI26" s="53">
        <f>18201+389</f>
        <v>18590</v>
      </c>
    </row>
    <row r="27" spans="1:35" ht="102" x14ac:dyDescent="0.2">
      <c r="A27" s="46">
        <v>7</v>
      </c>
      <c r="B27" s="47" t="s">
        <v>68</v>
      </c>
      <c r="C27" s="48" t="str">
        <f t="shared" ca="1" si="0"/>
        <v xml:space="preserve">Разборка: кирпичных стен
1 м3
13813 руб. НР 84%=110%*(0,85*0,9) от ФОТ (16444 руб.)
7893 руб.СП 48%=70%*(0,8*0,85) от ФОТ (16444 руб.)
</v>
      </c>
      <c r="D27" s="46" t="s">
        <v>69</v>
      </c>
      <c r="E27" s="49" t="s">
        <v>70</v>
      </c>
      <c r="F27" s="49" t="s">
        <v>71</v>
      </c>
      <c r="G27" s="49"/>
      <c r="H27" s="50" t="s">
        <v>72</v>
      </c>
      <c r="I27" s="51">
        <v>23350</v>
      </c>
      <c r="J27" s="49">
        <v>14196</v>
      </c>
      <c r="K27" s="49" t="s">
        <v>73</v>
      </c>
      <c r="L27" s="49" t="str">
        <f>IF(11.51*0=0," ",TEXT(,ROUND((11.51*0*1),2)))</f>
        <v xml:space="preserve"> </v>
      </c>
      <c r="M27" s="49" t="s">
        <v>74</v>
      </c>
      <c r="N27" s="49" t="s">
        <v>75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 t="s">
        <v>33</v>
      </c>
      <c r="AB27" s="53" t="s">
        <v>34</v>
      </c>
      <c r="AC27" s="53">
        <v>13813</v>
      </c>
      <c r="AD27" s="53">
        <v>7893</v>
      </c>
      <c r="AE27" s="53"/>
      <c r="AF27" s="54" t="s">
        <v>76</v>
      </c>
      <c r="AG27" s="53" t="s">
        <v>77</v>
      </c>
      <c r="AH27" s="53"/>
      <c r="AI27" s="53">
        <f>14196+2248</f>
        <v>16444</v>
      </c>
    </row>
    <row r="28" spans="1:35" ht="89.25" x14ac:dyDescent="0.2">
      <c r="A28" s="46">
        <v>8</v>
      </c>
      <c r="B28" s="47" t="s">
        <v>78</v>
      </c>
      <c r="C28" s="48" t="str">
        <f t="shared" ca="1" si="0"/>
        <v xml:space="preserve">Затаривание строительного мусора в мешки Шлак
1 т
4093 руб. НР 66%=78%*0,85 от ФОТ (6202 руб.)
2481 руб.СП 40%=50%*0,8 от ФОТ (6202 руб.)
</v>
      </c>
      <c r="D28" s="46" t="s">
        <v>79</v>
      </c>
      <c r="E28" s="49" t="s">
        <v>80</v>
      </c>
      <c r="F28" s="49"/>
      <c r="G28" s="49">
        <v>16.399999999999999</v>
      </c>
      <c r="H28" s="50" t="s">
        <v>81</v>
      </c>
      <c r="I28" s="51">
        <v>12202</v>
      </c>
      <c r="J28" s="49">
        <v>6202</v>
      </c>
      <c r="K28" s="49"/>
      <c r="L28" s="49" t="str">
        <f>IF(49.56*16.4=0," ",TEXT(,ROUND((49.56*16.4*7.38),2)))</f>
        <v>5998.35</v>
      </c>
      <c r="M28" s="49">
        <v>1.03</v>
      </c>
      <c r="N28" s="49">
        <v>51.05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 t="s">
        <v>82</v>
      </c>
      <c r="AB28" s="53" t="s">
        <v>83</v>
      </c>
      <c r="AC28" s="53">
        <v>4093</v>
      </c>
      <c r="AD28" s="53">
        <v>2481</v>
      </c>
      <c r="AE28" s="53"/>
      <c r="AF28" s="54" t="s">
        <v>84</v>
      </c>
      <c r="AG28" s="53" t="s">
        <v>85</v>
      </c>
      <c r="AH28" s="53"/>
      <c r="AI28" s="53">
        <f>6202+0</f>
        <v>6202</v>
      </c>
    </row>
    <row r="29" spans="1:35" ht="178.5" x14ac:dyDescent="0.2">
      <c r="A29" s="46">
        <v>9</v>
      </c>
      <c r="B29" s="47" t="s">
        <v>86</v>
      </c>
      <c r="C29" s="48" t="str">
        <f t="shared" ca="1" si="0"/>
        <v xml:space="preserve">Разборка трубопроводов канализации из полиэтиленовых труб высокой плотности диаметром: 110 мм
100 м трубопровода
(Демонтаж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ТЗМ=0,4)
249 руб. НР 98%=128%*(0,85*0,9) от ФОТ (254 руб.)
142 руб.СП 56%=83%*(0,8*0,85) от ФОТ (254 руб.)
</v>
      </c>
      <c r="D29" s="46">
        <v>0.06</v>
      </c>
      <c r="E29" s="49" t="s">
        <v>87</v>
      </c>
      <c r="F29" s="49" t="s">
        <v>88</v>
      </c>
      <c r="G29" s="49"/>
      <c r="H29" s="50" t="s">
        <v>89</v>
      </c>
      <c r="I29" s="51">
        <v>254</v>
      </c>
      <c r="J29" s="49">
        <v>254</v>
      </c>
      <c r="K29" s="49"/>
      <c r="L29" s="49" t="str">
        <f>IF(0.06*0=0," ",TEXT(,ROUND((0.06*0*3.14),2)))</f>
        <v xml:space="preserve"> </v>
      </c>
      <c r="M29" s="49" t="s">
        <v>90</v>
      </c>
      <c r="N29" s="49">
        <v>1.48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 t="s">
        <v>91</v>
      </c>
      <c r="AB29" s="53" t="s">
        <v>92</v>
      </c>
      <c r="AC29" s="53">
        <v>249</v>
      </c>
      <c r="AD29" s="53">
        <v>142</v>
      </c>
      <c r="AE29" s="53" t="s">
        <v>93</v>
      </c>
      <c r="AF29" s="54" t="s">
        <v>94</v>
      </c>
      <c r="AG29" s="53" t="s">
        <v>95</v>
      </c>
      <c r="AH29" s="53"/>
      <c r="AI29" s="53">
        <f>254+0</f>
        <v>254</v>
      </c>
    </row>
    <row r="30" spans="1:35" ht="76.5" x14ac:dyDescent="0.2">
      <c r="A30" s="55">
        <v>10</v>
      </c>
      <c r="B30" s="56" t="s">
        <v>96</v>
      </c>
      <c r="C30" s="57" t="str">
        <f t="shared" ca="1" si="0"/>
        <v xml:space="preserve">Прочистка вентиляционных каналов
100 м канала
511 руб. НР 63%=74%*0,85 от ФОТ (811 руб.)
324 руб.СП 40%=50%*0,8 от ФОТ (811 руб.)
</v>
      </c>
      <c r="D30" s="55">
        <v>0.3</v>
      </c>
      <c r="E30" s="58" t="s">
        <v>97</v>
      </c>
      <c r="F30" s="58" t="s">
        <v>98</v>
      </c>
      <c r="G30" s="58">
        <v>29.24</v>
      </c>
      <c r="H30" s="59" t="s">
        <v>99</v>
      </c>
      <c r="I30" s="60">
        <v>856</v>
      </c>
      <c r="J30" s="58">
        <v>811</v>
      </c>
      <c r="K30" s="58"/>
      <c r="L30" s="58" t="str">
        <f>IF(0.3*29.24=0," ",TEXT(,ROUND((0.3*29.24*4.96),2)))</f>
        <v>43.51</v>
      </c>
      <c r="M30" s="58" t="s">
        <v>100</v>
      </c>
      <c r="N30" s="58">
        <v>5.61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 t="s">
        <v>101</v>
      </c>
      <c r="AB30" s="53" t="s">
        <v>83</v>
      </c>
      <c r="AC30" s="53">
        <v>511</v>
      </c>
      <c r="AD30" s="53">
        <v>324</v>
      </c>
      <c r="AE30" s="53"/>
      <c r="AF30" s="54" t="s">
        <v>102</v>
      </c>
      <c r="AG30" s="53" t="s">
        <v>103</v>
      </c>
      <c r="AH30" s="53"/>
      <c r="AI30" s="53">
        <f>811+0</f>
        <v>811</v>
      </c>
    </row>
    <row r="31" spans="1:35" ht="25.5" x14ac:dyDescent="0.2">
      <c r="A31" s="72" t="s">
        <v>104</v>
      </c>
      <c r="B31" s="67"/>
      <c r="C31" s="67"/>
      <c r="D31" s="67"/>
      <c r="E31" s="67"/>
      <c r="F31" s="67"/>
      <c r="G31" s="67"/>
      <c r="H31" s="67"/>
      <c r="I31" s="51">
        <v>6532</v>
      </c>
      <c r="J31" s="49">
        <v>3913</v>
      </c>
      <c r="K31" s="49" t="s">
        <v>105</v>
      </c>
      <c r="L31" s="49">
        <v>822</v>
      </c>
      <c r="M31" s="49"/>
      <c r="N31" s="49" t="s">
        <v>106</v>
      </c>
      <c r="O31" s="18"/>
      <c r="P31" s="19"/>
      <c r="Q31" s="18"/>
      <c r="R31" s="18"/>
      <c r="S31" s="18"/>
      <c r="T31" s="18"/>
      <c r="U31" s="18"/>
      <c r="V31" s="18"/>
      <c r="W31" s="18"/>
      <c r="X31" s="18"/>
      <c r="Y31" s="18"/>
      <c r="Z31" s="18"/>
      <c r="AF31" s="4"/>
    </row>
    <row r="32" spans="1:35" ht="25.5" x14ac:dyDescent="0.2">
      <c r="A32" s="72" t="s">
        <v>107</v>
      </c>
      <c r="B32" s="67"/>
      <c r="C32" s="67"/>
      <c r="D32" s="67"/>
      <c r="E32" s="67"/>
      <c r="F32" s="67"/>
      <c r="G32" s="67"/>
      <c r="H32" s="67"/>
      <c r="I32" s="51">
        <v>86485</v>
      </c>
      <c r="J32" s="49">
        <v>66129</v>
      </c>
      <c r="K32" s="49" t="s">
        <v>108</v>
      </c>
      <c r="L32" s="49">
        <v>6045</v>
      </c>
      <c r="M32" s="49"/>
      <c r="N32" s="49" t="s">
        <v>106</v>
      </c>
      <c r="O32" s="18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F32" s="4"/>
    </row>
    <row r="33" spans="1:35" x14ac:dyDescent="0.2">
      <c r="A33" s="72" t="s">
        <v>109</v>
      </c>
      <c r="B33" s="67"/>
      <c r="C33" s="67"/>
      <c r="D33" s="67"/>
      <c r="E33" s="67"/>
      <c r="F33" s="67"/>
      <c r="G33" s="67"/>
      <c r="H33" s="67"/>
      <c r="I33" s="51">
        <v>52730</v>
      </c>
      <c r="J33" s="49"/>
      <c r="K33" s="49"/>
      <c r="L33" s="49"/>
      <c r="M33" s="49"/>
      <c r="N33" s="49"/>
      <c r="O33" s="18"/>
      <c r="P33" s="19"/>
      <c r="Q33" s="18"/>
      <c r="R33" s="18"/>
      <c r="S33" s="18"/>
      <c r="T33" s="5"/>
      <c r="U33" s="5"/>
      <c r="V33" s="5"/>
      <c r="W33" s="5"/>
      <c r="X33" s="5"/>
      <c r="Y33" s="5"/>
      <c r="Z33" s="5"/>
    </row>
    <row r="34" spans="1:35" x14ac:dyDescent="0.2">
      <c r="A34" s="72" t="s">
        <v>110</v>
      </c>
      <c r="B34" s="67"/>
      <c r="C34" s="67"/>
      <c r="D34" s="67"/>
      <c r="E34" s="67"/>
      <c r="F34" s="67"/>
      <c r="G34" s="67"/>
      <c r="H34" s="67"/>
      <c r="I34" s="51">
        <v>34079</v>
      </c>
      <c r="J34" s="49"/>
      <c r="K34" s="49"/>
      <c r="L34" s="49"/>
      <c r="M34" s="49"/>
      <c r="N34" s="49"/>
      <c r="O34" s="18"/>
      <c r="P34" s="19"/>
      <c r="Q34" s="18"/>
      <c r="R34" s="18"/>
      <c r="S34" s="18"/>
    </row>
    <row r="35" spans="1:35" ht="25.5" x14ac:dyDescent="0.2">
      <c r="A35" s="73" t="s">
        <v>111</v>
      </c>
      <c r="B35" s="74"/>
      <c r="C35" s="74"/>
      <c r="D35" s="74"/>
      <c r="E35" s="74"/>
      <c r="F35" s="74"/>
      <c r="G35" s="74"/>
      <c r="H35" s="74"/>
      <c r="I35" s="61">
        <v>173294</v>
      </c>
      <c r="J35" s="62"/>
      <c r="K35" s="62"/>
      <c r="L35" s="62"/>
      <c r="M35" s="62"/>
      <c r="N35" s="62" t="s">
        <v>106</v>
      </c>
      <c r="O35" s="18"/>
      <c r="P35" s="19"/>
      <c r="Q35" s="18"/>
      <c r="R35" s="18"/>
      <c r="S35" s="18"/>
    </row>
    <row r="36" spans="1:35" ht="21" customHeight="1" x14ac:dyDescent="0.2">
      <c r="A36" s="70" t="s">
        <v>112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</row>
    <row r="37" spans="1:35" ht="114.75" x14ac:dyDescent="0.2">
      <c r="A37" s="46">
        <v>11</v>
      </c>
      <c r="B37" s="47" t="s">
        <v>113</v>
      </c>
      <c r="C37" s="48" t="str">
        <f t="shared" ref="C37:C65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стен кирпичных наружных: простых при высоте этажа до 4 м
1 м3 кладки
7513 руб. НР 93%=122%*(0,85*0,9) от ФОТ (8079 руб.)
4363 руб.СП 54%=80%*(0,8*0,85) от ФОТ (8079 руб.)
</v>
      </c>
      <c r="D37" s="46">
        <v>8.1999999999999993</v>
      </c>
      <c r="E37" s="49" t="s">
        <v>114</v>
      </c>
      <c r="F37" s="49" t="s">
        <v>115</v>
      </c>
      <c r="G37" s="49">
        <v>811.41</v>
      </c>
      <c r="H37" s="50" t="s">
        <v>116</v>
      </c>
      <c r="I37" s="51">
        <v>42713</v>
      </c>
      <c r="J37" s="49">
        <v>7149</v>
      </c>
      <c r="K37" s="49" t="s">
        <v>117</v>
      </c>
      <c r="L37" s="49" t="str">
        <f>IF(8.2*811.41=0," ",TEXT(,ROUND((8.2*811.41*4.7),2)))</f>
        <v>31271.74</v>
      </c>
      <c r="M37" s="49" t="s">
        <v>118</v>
      </c>
      <c r="N37" s="49" t="s">
        <v>119</v>
      </c>
      <c r="O37" s="52"/>
      <c r="P37" s="52"/>
      <c r="Q37" s="52"/>
      <c r="R37" s="52"/>
      <c r="S37" s="52"/>
      <c r="T37" s="53"/>
      <c r="U37" s="53"/>
      <c r="V37" s="53"/>
      <c r="W37" s="53"/>
      <c r="X37" s="53"/>
      <c r="Y37" s="53"/>
      <c r="Z37" s="53"/>
      <c r="AA37" s="53" t="s">
        <v>120</v>
      </c>
      <c r="AB37" s="53" t="s">
        <v>121</v>
      </c>
      <c r="AC37" s="53">
        <v>7513</v>
      </c>
      <c r="AD37" s="53">
        <v>4363</v>
      </c>
      <c r="AE37" s="53"/>
      <c r="AF37" s="53" t="s">
        <v>122</v>
      </c>
      <c r="AG37" s="53" t="s">
        <v>123</v>
      </c>
      <c r="AH37" s="53"/>
      <c r="AI37" s="53">
        <f>7149+930</f>
        <v>8079</v>
      </c>
    </row>
    <row r="38" spans="1:35" ht="102" x14ac:dyDescent="0.2">
      <c r="A38" s="46">
        <v>12</v>
      </c>
      <c r="B38" s="47" t="s">
        <v>124</v>
      </c>
      <c r="C38" s="48" t="str">
        <f t="shared" ca="1" si="1"/>
        <v xml:space="preserve">Кладка из кирпича: столбов прямоугольных неармированных при высоте этажа до 4 м
1 м3 кладки
881 руб. НР 93%=122%*(0,85*0,9) от ФОТ (947 руб.)
511 руб.СП 54%=80%*(0,8*0,85) от ФОТ (947 руб.)
</v>
      </c>
      <c r="D38" s="46">
        <v>0.6</v>
      </c>
      <c r="E38" s="49" t="s">
        <v>125</v>
      </c>
      <c r="F38" s="49" t="s">
        <v>126</v>
      </c>
      <c r="G38" s="49">
        <v>822.65</v>
      </c>
      <c r="H38" s="50" t="s">
        <v>127</v>
      </c>
      <c r="I38" s="51">
        <v>3527</v>
      </c>
      <c r="J38" s="49">
        <v>879</v>
      </c>
      <c r="K38" s="49" t="s">
        <v>128</v>
      </c>
      <c r="L38" s="49" t="str">
        <f>IF(0.6*822.65=0," ",TEXT(,ROUND((0.6*822.65*4.68),2)))</f>
        <v>2310</v>
      </c>
      <c r="M38" s="49" t="s">
        <v>129</v>
      </c>
      <c r="N38" s="49" t="s">
        <v>130</v>
      </c>
      <c r="O38" s="52"/>
      <c r="P38" s="52"/>
      <c r="Q38" s="52"/>
      <c r="R38" s="52"/>
      <c r="S38" s="52"/>
      <c r="T38" s="53"/>
      <c r="U38" s="53"/>
      <c r="V38" s="53"/>
      <c r="W38" s="53"/>
      <c r="X38" s="53"/>
      <c r="Y38" s="53"/>
      <c r="Z38" s="53"/>
      <c r="AA38" s="53" t="s">
        <v>120</v>
      </c>
      <c r="AB38" s="53" t="s">
        <v>121</v>
      </c>
      <c r="AC38" s="53">
        <v>881</v>
      </c>
      <c r="AD38" s="53">
        <v>511</v>
      </c>
      <c r="AE38" s="53"/>
      <c r="AF38" s="53" t="s">
        <v>131</v>
      </c>
      <c r="AG38" s="53" t="s">
        <v>123</v>
      </c>
      <c r="AH38" s="53"/>
      <c r="AI38" s="53">
        <f>879+68</f>
        <v>947</v>
      </c>
    </row>
    <row r="39" spans="1:35" ht="89.25" x14ac:dyDescent="0.2">
      <c r="A39" s="46">
        <v>13</v>
      </c>
      <c r="B39" s="47" t="s">
        <v>132</v>
      </c>
      <c r="C39" s="48" t="str">
        <f t="shared" ca="1" si="1"/>
        <v xml:space="preserve">Устройство покрытия из рулонных материалов: насухо без промазки кромок
100 м2 кровли
2616 руб. НР 71%=83%*0,85 от ФОТ (3684 руб.)
1916 руб.СП 52%=65%*0,8 от ФОТ (3684 руб.)
</v>
      </c>
      <c r="D39" s="46">
        <v>6.02</v>
      </c>
      <c r="E39" s="49" t="s">
        <v>133</v>
      </c>
      <c r="F39" s="49">
        <v>5.23</v>
      </c>
      <c r="G39" s="49">
        <v>883.33</v>
      </c>
      <c r="H39" s="50" t="s">
        <v>134</v>
      </c>
      <c r="I39" s="51">
        <v>30693</v>
      </c>
      <c r="J39" s="49">
        <v>3684</v>
      </c>
      <c r="K39" s="49">
        <v>366</v>
      </c>
      <c r="L39" s="49" t="str">
        <f>IF(6.02*883.33=0," ",TEXT(,ROUND((6.02*883.33*5.01),2)))</f>
        <v>26641.41</v>
      </c>
      <c r="M39" s="49">
        <v>4.5199999999999996</v>
      </c>
      <c r="N39" s="49">
        <v>27.21</v>
      </c>
      <c r="O39" s="52"/>
      <c r="P39" s="52"/>
      <c r="Q39" s="52"/>
      <c r="R39" s="52"/>
      <c r="S39" s="52"/>
      <c r="T39" s="53"/>
      <c r="U39" s="53"/>
      <c r="V39" s="53"/>
      <c r="W39" s="53"/>
      <c r="X39" s="53"/>
      <c r="Y39" s="53"/>
      <c r="Z39" s="53"/>
      <c r="AA39" s="53" t="s">
        <v>43</v>
      </c>
      <c r="AB39" s="53" t="s">
        <v>44</v>
      </c>
      <c r="AC39" s="53">
        <v>2616</v>
      </c>
      <c r="AD39" s="53">
        <v>1916</v>
      </c>
      <c r="AE39" s="53"/>
      <c r="AF39" s="53" t="s">
        <v>135</v>
      </c>
      <c r="AG39" s="53" t="s">
        <v>60</v>
      </c>
      <c r="AH39" s="53"/>
      <c r="AI39" s="53">
        <f>3684+0</f>
        <v>3684</v>
      </c>
    </row>
    <row r="40" spans="1:35" ht="63.75" x14ac:dyDescent="0.2">
      <c r="A40" s="46">
        <v>14</v>
      </c>
      <c r="B40" s="47" t="s">
        <v>136</v>
      </c>
      <c r="C40" s="48" t="str">
        <f t="shared" ca="1" si="1"/>
        <v xml:space="preserve">Рубероид кровельный с крупнозернистой посыпкой марки: РКК-350б
м2
</v>
      </c>
      <c r="D40" s="46">
        <v>-692.3</v>
      </c>
      <c r="E40" s="49">
        <v>7.46</v>
      </c>
      <c r="F40" s="49"/>
      <c r="G40" s="49">
        <v>7.46</v>
      </c>
      <c r="H40" s="50" t="s">
        <v>137</v>
      </c>
      <c r="I40" s="51">
        <v>-25846</v>
      </c>
      <c r="J40" s="49"/>
      <c r="K40" s="49"/>
      <c r="L40" s="49" t="str">
        <f>IF(-692.3*7.46=0," ",TEXT(,ROUND((-692.3*7.46*5.004),2)))</f>
        <v>-25843.45</v>
      </c>
      <c r="M40" s="49"/>
      <c r="N40" s="49"/>
      <c r="O40" s="52"/>
      <c r="P40" s="52"/>
      <c r="Q40" s="52"/>
      <c r="R40" s="52"/>
      <c r="S40" s="52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 t="s">
        <v>138</v>
      </c>
      <c r="AG40" s="53" t="s">
        <v>139</v>
      </c>
      <c r="AH40" s="53"/>
      <c r="AI40" s="53">
        <f>0+0</f>
        <v>0</v>
      </c>
    </row>
    <row r="41" spans="1:35" ht="63.75" x14ac:dyDescent="0.2">
      <c r="A41" s="46">
        <v>15</v>
      </c>
      <c r="B41" s="47" t="s">
        <v>140</v>
      </c>
      <c r="C41" s="48" t="str">
        <f t="shared" ca="1" si="1"/>
        <v xml:space="preserve">Изоспан: Двухслойная паропроницаемая мембрана марки В 14,62/5,56=2,63
м2
</v>
      </c>
      <c r="D41" s="46">
        <v>692.3</v>
      </c>
      <c r="E41" s="49">
        <v>2.63</v>
      </c>
      <c r="F41" s="49"/>
      <c r="G41" s="49">
        <v>2.63</v>
      </c>
      <c r="H41" s="50" t="s">
        <v>141</v>
      </c>
      <c r="I41" s="51">
        <v>10125</v>
      </c>
      <c r="J41" s="49"/>
      <c r="K41" s="49"/>
      <c r="L41" s="49" t="str">
        <f>IF(692.3*2.63=0," ",TEXT(,ROUND((692.3*2.63*5.56),2)))</f>
        <v>10123.36</v>
      </c>
      <c r="M41" s="49"/>
      <c r="N41" s="49"/>
      <c r="O41" s="52"/>
      <c r="P41" s="52"/>
      <c r="Q41" s="52"/>
      <c r="R41" s="52"/>
      <c r="S41" s="52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 t="s">
        <v>142</v>
      </c>
      <c r="AG41" s="53" t="s">
        <v>139</v>
      </c>
      <c r="AH41" s="53"/>
      <c r="AI41" s="53">
        <f>0+0</f>
        <v>0</v>
      </c>
    </row>
    <row r="42" spans="1:35" ht="127.5" x14ac:dyDescent="0.2">
      <c r="A42" s="46">
        <v>16</v>
      </c>
      <c r="B42" s="47" t="s">
        <v>143</v>
      </c>
      <c r="C42" s="48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32588 руб. НР 92%=120%*(0,85*0,9) от ФОТ (35422 руб.)
15586 руб.СП 44%=65%*(0,8*0,85) от ФОТ (35422 руб.)
</v>
      </c>
      <c r="D42" s="46">
        <v>4.13</v>
      </c>
      <c r="E42" s="49" t="s">
        <v>144</v>
      </c>
      <c r="F42" s="49" t="s">
        <v>145</v>
      </c>
      <c r="G42" s="49">
        <v>4146.24</v>
      </c>
      <c r="H42" s="50" t="s">
        <v>146</v>
      </c>
      <c r="I42" s="51">
        <v>156428</v>
      </c>
      <c r="J42" s="49">
        <v>34763</v>
      </c>
      <c r="K42" s="49" t="s">
        <v>147</v>
      </c>
      <c r="L42" s="49" t="str">
        <f>IF(4.13*4146.24=0," ",TEXT(,ROUND((4.13*4146.24*6.74),2)))</f>
        <v>115415.57</v>
      </c>
      <c r="M42" s="49" t="s">
        <v>148</v>
      </c>
      <c r="N42" s="49" t="s">
        <v>149</v>
      </c>
      <c r="O42" s="52"/>
      <c r="P42" s="52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 t="s">
        <v>150</v>
      </c>
      <c r="AB42" s="53" t="s">
        <v>151</v>
      </c>
      <c r="AC42" s="53">
        <v>32588</v>
      </c>
      <c r="AD42" s="53">
        <v>15586</v>
      </c>
      <c r="AE42" s="53"/>
      <c r="AF42" s="53" t="s">
        <v>152</v>
      </c>
      <c r="AG42" s="53" t="s">
        <v>153</v>
      </c>
      <c r="AH42" s="53"/>
      <c r="AI42" s="53">
        <f>34763+659</f>
        <v>35422</v>
      </c>
    </row>
    <row r="43" spans="1:35" ht="51" x14ac:dyDescent="0.2">
      <c r="A43" s="46">
        <v>17</v>
      </c>
      <c r="B43" s="47" t="s">
        <v>154</v>
      </c>
      <c r="C43" s="48" t="str">
        <f t="shared" ca="1" si="1"/>
        <v xml:space="preserve">Котлы битумные передвижные 400 л
маш.-ч
</v>
      </c>
      <c r="D43" s="46">
        <v>-9.5</v>
      </c>
      <c r="E43" s="49">
        <v>30</v>
      </c>
      <c r="F43" s="49">
        <v>30</v>
      </c>
      <c r="G43" s="49"/>
      <c r="H43" s="50" t="s">
        <v>155</v>
      </c>
      <c r="I43" s="51">
        <v>-1552</v>
      </c>
      <c r="J43" s="49"/>
      <c r="K43" s="49">
        <v>-1552</v>
      </c>
      <c r="L43" s="49" t="str">
        <f>IF(-9.5*0=0," ",TEXT(,ROUND((-9.5*0*1),2)))</f>
        <v xml:space="preserve"> </v>
      </c>
      <c r="M43" s="49"/>
      <c r="N43" s="49"/>
      <c r="O43" s="52"/>
      <c r="P43" s="52"/>
      <c r="Q43" s="52"/>
      <c r="R43" s="52"/>
      <c r="S43" s="52"/>
      <c r="T43" s="53"/>
      <c r="U43" s="53"/>
      <c r="V43" s="53"/>
      <c r="W43" s="53"/>
      <c r="X43" s="53"/>
      <c r="Y43" s="53"/>
      <c r="Z43" s="53"/>
      <c r="AA43" s="53" t="s">
        <v>156</v>
      </c>
      <c r="AB43" s="53" t="s">
        <v>157</v>
      </c>
      <c r="AC43" s="53"/>
      <c r="AD43" s="53"/>
      <c r="AE43" s="53"/>
      <c r="AF43" s="53" t="s">
        <v>158</v>
      </c>
      <c r="AG43" s="53" t="s">
        <v>159</v>
      </c>
      <c r="AH43" s="53"/>
      <c r="AI43" s="53">
        <f>0+0</f>
        <v>0</v>
      </c>
    </row>
    <row r="44" spans="1:35" ht="63.75" x14ac:dyDescent="0.2">
      <c r="A44" s="46">
        <v>18</v>
      </c>
      <c r="B44" s="47" t="s">
        <v>160</v>
      </c>
      <c r="C44" s="48" t="str">
        <f t="shared" ca="1" si="1"/>
        <v xml:space="preserve">Битумы нефтяные строительные кровельные марки БНК-45/190, БНК-45/180
т
</v>
      </c>
      <c r="D44" s="46">
        <v>-0.1033</v>
      </c>
      <c r="E44" s="49">
        <v>1530</v>
      </c>
      <c r="F44" s="49"/>
      <c r="G44" s="49">
        <v>1530</v>
      </c>
      <c r="H44" s="50" t="s">
        <v>161</v>
      </c>
      <c r="I44" s="51">
        <v>-2098</v>
      </c>
      <c r="J44" s="49"/>
      <c r="K44" s="49"/>
      <c r="L44" s="49" t="str">
        <f>IF(-0.1033*1530=0," ",TEXT(,ROUND((-0.1033*1530*13.277),2)))</f>
        <v>-2098.42</v>
      </c>
      <c r="M44" s="49"/>
      <c r="N44" s="49"/>
      <c r="O44" s="52"/>
      <c r="P44" s="52"/>
      <c r="Q44" s="52"/>
      <c r="R44" s="52"/>
      <c r="S44" s="52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 t="s">
        <v>162</v>
      </c>
      <c r="AG44" s="53" t="s">
        <v>163</v>
      </c>
      <c r="AH44" s="53"/>
      <c r="AI44" s="53">
        <f>0+0</f>
        <v>0</v>
      </c>
    </row>
    <row r="45" spans="1:35" ht="51" x14ac:dyDescent="0.2">
      <c r="A45" s="46">
        <v>19</v>
      </c>
      <c r="B45" s="47" t="s">
        <v>164</v>
      </c>
      <c r="C45" s="48" t="str">
        <f t="shared" ca="1" si="1"/>
        <v xml:space="preserve">Керосин для технических целей марок КТ-1, КТ-2
т
</v>
      </c>
      <c r="D45" s="46">
        <v>-0.23949999999999999</v>
      </c>
      <c r="E45" s="49">
        <v>2606.9</v>
      </c>
      <c r="F45" s="49"/>
      <c r="G45" s="49">
        <v>2606.9</v>
      </c>
      <c r="H45" s="50" t="s">
        <v>165</v>
      </c>
      <c r="I45" s="51">
        <v>-9947</v>
      </c>
      <c r="J45" s="49"/>
      <c r="K45" s="49"/>
      <c r="L45" s="49" t="str">
        <f>IF(-0.2395*2606.9=0," ",TEXT(,ROUND((-0.2395*2606.9*15.94),2)))</f>
        <v>-9952.18</v>
      </c>
      <c r="M45" s="49"/>
      <c r="N45" s="49"/>
      <c r="O45" s="52"/>
      <c r="P45" s="52"/>
      <c r="Q45" s="52"/>
      <c r="R45" s="52"/>
      <c r="S45" s="52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 t="s">
        <v>166</v>
      </c>
      <c r="AG45" s="53" t="s">
        <v>163</v>
      </c>
      <c r="AH45" s="53"/>
      <c r="AI45" s="53">
        <f>0+0</f>
        <v>0</v>
      </c>
    </row>
    <row r="46" spans="1:35" ht="51" x14ac:dyDescent="0.2">
      <c r="A46" s="46">
        <v>20</v>
      </c>
      <c r="B46" s="47" t="s">
        <v>167</v>
      </c>
      <c r="C46" s="48" t="str">
        <f t="shared" ca="1" si="1"/>
        <v xml:space="preserve">Мастика битумная кровельная горячая
т
</v>
      </c>
      <c r="D46" s="46">
        <v>-0.83009999999999995</v>
      </c>
      <c r="E46" s="49">
        <v>3390</v>
      </c>
      <c r="F46" s="49"/>
      <c r="G46" s="49">
        <v>3390</v>
      </c>
      <c r="H46" s="50" t="s">
        <v>168</v>
      </c>
      <c r="I46" s="51">
        <v>-28610</v>
      </c>
      <c r="J46" s="49"/>
      <c r="K46" s="49"/>
      <c r="L46" s="49" t="str">
        <f>IF(-0.8301*3390=0," ",TEXT(,ROUND((-0.8301*3390*10.167),2)))</f>
        <v>-28610.33</v>
      </c>
      <c r="M46" s="49"/>
      <c r="N46" s="49"/>
      <c r="O46" s="52"/>
      <c r="P46" s="52"/>
      <c r="Q46" s="52"/>
      <c r="R46" s="52"/>
      <c r="S46" s="52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 t="s">
        <v>169</v>
      </c>
      <c r="AG46" s="53" t="s">
        <v>163</v>
      </c>
      <c r="AH46" s="53"/>
      <c r="AI46" s="53">
        <f>0+0</f>
        <v>0</v>
      </c>
    </row>
    <row r="47" spans="1:35" ht="63.75" x14ac:dyDescent="0.2">
      <c r="A47" s="46">
        <v>21</v>
      </c>
      <c r="B47" s="47" t="s">
        <v>170</v>
      </c>
      <c r="C47" s="48" t="str">
        <f t="shared" ca="1" si="1"/>
        <v xml:space="preserve">Плиты из минеральной ваты на синтетическом связующем М-125 (ГОСТ 9573-96)
м3
</v>
      </c>
      <c r="D47" s="46">
        <v>-25.52</v>
      </c>
      <c r="E47" s="49">
        <v>530</v>
      </c>
      <c r="F47" s="49"/>
      <c r="G47" s="49">
        <v>530</v>
      </c>
      <c r="H47" s="50" t="s">
        <v>171</v>
      </c>
      <c r="I47" s="51">
        <v>-78072</v>
      </c>
      <c r="J47" s="49"/>
      <c r="K47" s="49"/>
      <c r="L47" s="49" t="str">
        <f>IF(-25.52*530=0," ",TEXT(,ROUND((-25.52*530*5.772),2)))</f>
        <v>-78069.76</v>
      </c>
      <c r="M47" s="49"/>
      <c r="N47" s="49"/>
      <c r="O47" s="52"/>
      <c r="P47" s="52"/>
      <c r="Q47" s="52"/>
      <c r="R47" s="52"/>
      <c r="S47" s="52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 t="s">
        <v>172</v>
      </c>
      <c r="AG47" s="53" t="s">
        <v>173</v>
      </c>
      <c r="AH47" s="53"/>
      <c r="AI47" s="53">
        <f>0+0</f>
        <v>0</v>
      </c>
    </row>
    <row r="48" spans="1:35" ht="153" x14ac:dyDescent="0.2">
      <c r="A48" s="46">
        <v>22</v>
      </c>
      <c r="B48" s="47" t="s">
        <v>174</v>
      </c>
      <c r="C48" s="48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(Всего толщ. 200 мм ПЗ=3 (ОЗП=3; ЭМ=3 к расх.; ЗПМ=3; МАТ=3 к расх.; ТЗ=3; ТЗМ=3))
76077 руб. НР 92%=120%*(0,85*0,9) от ФОТ (82692 руб.)
36384 руб.СП 44%=65%*(0,8*0,85) от ФОТ (82692 руб.)
</v>
      </c>
      <c r="D48" s="46">
        <v>4.13</v>
      </c>
      <c r="E48" s="49" t="s">
        <v>175</v>
      </c>
      <c r="F48" s="49" t="s">
        <v>176</v>
      </c>
      <c r="G48" s="49">
        <v>11870.37</v>
      </c>
      <c r="H48" s="50" t="s">
        <v>146</v>
      </c>
      <c r="I48" s="51">
        <v>429110</v>
      </c>
      <c r="J48" s="49">
        <v>80748</v>
      </c>
      <c r="K48" s="49" t="s">
        <v>177</v>
      </c>
      <c r="L48" s="49" t="str">
        <f>IF(4.13*11870.37=0," ",TEXT(,ROUND((4.13*11870.37*6.74),2)))</f>
        <v>330425.99</v>
      </c>
      <c r="M48" s="49" t="s">
        <v>178</v>
      </c>
      <c r="N48" s="49" t="s">
        <v>179</v>
      </c>
      <c r="O48" s="52"/>
      <c r="P48" s="52"/>
      <c r="Q48" s="52"/>
      <c r="R48" s="52"/>
      <c r="S48" s="52"/>
      <c r="T48" s="53"/>
      <c r="U48" s="53"/>
      <c r="V48" s="53"/>
      <c r="W48" s="53"/>
      <c r="X48" s="53"/>
      <c r="Y48" s="53"/>
      <c r="Z48" s="53"/>
      <c r="AA48" s="53" t="s">
        <v>150</v>
      </c>
      <c r="AB48" s="53" t="s">
        <v>151</v>
      </c>
      <c r="AC48" s="53">
        <v>76077</v>
      </c>
      <c r="AD48" s="53">
        <v>36384</v>
      </c>
      <c r="AE48" s="53" t="s">
        <v>180</v>
      </c>
      <c r="AF48" s="53" t="s">
        <v>181</v>
      </c>
      <c r="AG48" s="53" t="s">
        <v>153</v>
      </c>
      <c r="AH48" s="53"/>
      <c r="AI48" s="53">
        <f>80748+1944</f>
        <v>82692</v>
      </c>
    </row>
    <row r="49" spans="1:35" ht="51" x14ac:dyDescent="0.2">
      <c r="A49" s="46">
        <v>23</v>
      </c>
      <c r="B49" s="47" t="s">
        <v>154</v>
      </c>
      <c r="C49" s="48" t="str">
        <f t="shared" ca="1" si="1"/>
        <v xml:space="preserve">Котлы битумные передвижные 400 л
маш.-ч
</v>
      </c>
      <c r="D49" s="46">
        <v>-25.55</v>
      </c>
      <c r="E49" s="49">
        <v>30</v>
      </c>
      <c r="F49" s="49">
        <v>30</v>
      </c>
      <c r="G49" s="49"/>
      <c r="H49" s="50" t="s">
        <v>155</v>
      </c>
      <c r="I49" s="51">
        <v>-4177</v>
      </c>
      <c r="J49" s="49"/>
      <c r="K49" s="49">
        <v>-4177</v>
      </c>
      <c r="L49" s="49" t="str">
        <f>IF(-25.55*0=0," ",TEXT(,ROUND((-25.55*0*1),2)))</f>
        <v xml:space="preserve"> </v>
      </c>
      <c r="M49" s="49"/>
      <c r="N49" s="49"/>
      <c r="O49" s="52"/>
      <c r="P49" s="52"/>
      <c r="Q49" s="52"/>
      <c r="R49" s="52"/>
      <c r="S49" s="52"/>
      <c r="T49" s="53"/>
      <c r="U49" s="53"/>
      <c r="V49" s="53"/>
      <c r="W49" s="53"/>
      <c r="X49" s="53"/>
      <c r="Y49" s="53"/>
      <c r="Z49" s="53"/>
      <c r="AA49" s="53" t="s">
        <v>156</v>
      </c>
      <c r="AB49" s="53" t="s">
        <v>157</v>
      </c>
      <c r="AC49" s="53"/>
      <c r="AD49" s="53"/>
      <c r="AE49" s="53"/>
      <c r="AF49" s="53" t="s">
        <v>158</v>
      </c>
      <c r="AG49" s="53" t="s">
        <v>159</v>
      </c>
      <c r="AH49" s="53"/>
      <c r="AI49" s="53">
        <f>0+0</f>
        <v>0</v>
      </c>
    </row>
    <row r="50" spans="1:35" ht="51" x14ac:dyDescent="0.2">
      <c r="A50" s="46">
        <v>24</v>
      </c>
      <c r="B50" s="47" t="s">
        <v>167</v>
      </c>
      <c r="C50" s="48" t="str">
        <f t="shared" ca="1" si="1"/>
        <v xml:space="preserve">Мастика битумная кровельная горячая
т
</v>
      </c>
      <c r="D50" s="46">
        <v>-2.4900000000000002</v>
      </c>
      <c r="E50" s="49">
        <v>3390</v>
      </c>
      <c r="F50" s="49"/>
      <c r="G50" s="49">
        <v>3390</v>
      </c>
      <c r="H50" s="50" t="s">
        <v>168</v>
      </c>
      <c r="I50" s="51">
        <v>-85820</v>
      </c>
      <c r="J50" s="49"/>
      <c r="K50" s="49"/>
      <c r="L50" s="49" t="str">
        <f>IF(-2.49*3390=0," ",TEXT(,ROUND((-2.49*3390*10.167),2)))</f>
        <v>-85820.66</v>
      </c>
      <c r="M50" s="49"/>
      <c r="N50" s="49"/>
      <c r="O50" s="52"/>
      <c r="P50" s="52"/>
      <c r="Q50" s="52"/>
      <c r="R50" s="52"/>
      <c r="S50" s="52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 t="s">
        <v>169</v>
      </c>
      <c r="AG50" s="53" t="s">
        <v>163</v>
      </c>
      <c r="AH50" s="53"/>
      <c r="AI50" s="53">
        <f>0+0</f>
        <v>0</v>
      </c>
    </row>
    <row r="51" spans="1:35" ht="63.75" x14ac:dyDescent="0.2">
      <c r="A51" s="46">
        <v>25</v>
      </c>
      <c r="B51" s="47" t="s">
        <v>170</v>
      </c>
      <c r="C51" s="48" t="str">
        <f t="shared" ca="1" si="1"/>
        <v xml:space="preserve">Плиты из минеральной ваты на синтетическом связующем М-125 (ГОСТ 9573-96)
м3
</v>
      </c>
      <c r="D51" s="46">
        <v>-76.569999999999993</v>
      </c>
      <c r="E51" s="49">
        <v>530</v>
      </c>
      <c r="F51" s="49"/>
      <c r="G51" s="49">
        <v>530</v>
      </c>
      <c r="H51" s="50" t="s">
        <v>171</v>
      </c>
      <c r="I51" s="51">
        <v>-234239</v>
      </c>
      <c r="J51" s="49"/>
      <c r="K51" s="49"/>
      <c r="L51" s="49" t="str">
        <f>IF(-76.57*530=0," ",TEXT(,ROUND((-76.57*530*5.772),2)))</f>
        <v>-234239.88</v>
      </c>
      <c r="M51" s="49"/>
      <c r="N51" s="49"/>
      <c r="O51" s="52"/>
      <c r="P51" s="52"/>
      <c r="Q51" s="52"/>
      <c r="R51" s="52"/>
      <c r="S51" s="52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 t="s">
        <v>172</v>
      </c>
      <c r="AG51" s="53" t="s">
        <v>173</v>
      </c>
      <c r="AH51" s="53"/>
      <c r="AI51" s="53">
        <f>0+0</f>
        <v>0</v>
      </c>
    </row>
    <row r="52" spans="1:35" ht="153" x14ac:dyDescent="0.2">
      <c r="A52" s="46">
        <v>26</v>
      </c>
      <c r="B52" s="47" t="s">
        <v>182</v>
      </c>
      <c r="C52" s="48" t="str">
        <f t="shared" ca="1" si="1"/>
        <v xml:space="preserve">Утепление покрытий плитами: на каждый последующий слой добавлять к расценке 12-01-013-03 дополнительный слой по периметру
100 м2 утепляемого покрытия
(В 2 слоя ПЗ=2 (ОЗП=2; ЭМ=2 к расх.; ЗПМ=2; МАТ=2 к расх.; ТЗ=2; ТЗМ=2))
12656 руб. НР 92%=120%*(0,85*0,9) от ФОТ (13757 руб.)
6053 руб.СП 44%=65%*(0,8*0,85) от ФОТ (13757 руб.)
</v>
      </c>
      <c r="D52" s="46">
        <v>1.03</v>
      </c>
      <c r="E52" s="49" t="s">
        <v>183</v>
      </c>
      <c r="F52" s="49" t="s">
        <v>184</v>
      </c>
      <c r="G52" s="49">
        <v>7913.58</v>
      </c>
      <c r="H52" s="50" t="s">
        <v>146</v>
      </c>
      <c r="I52" s="51">
        <v>71355</v>
      </c>
      <c r="J52" s="49">
        <v>13436</v>
      </c>
      <c r="K52" s="49" t="s">
        <v>185</v>
      </c>
      <c r="L52" s="49" t="str">
        <f>IF(1.03*7913.58=0," ",TEXT(,ROUND((1.03*7913.58*6.74),2)))</f>
        <v>54937.66</v>
      </c>
      <c r="M52" s="49" t="s">
        <v>186</v>
      </c>
      <c r="N52" s="49" t="s">
        <v>187</v>
      </c>
      <c r="O52" s="52"/>
      <c r="P52" s="52"/>
      <c r="Q52" s="52"/>
      <c r="R52" s="52"/>
      <c r="S52" s="52"/>
      <c r="T52" s="53"/>
      <c r="U52" s="53"/>
      <c r="V52" s="53"/>
      <c r="W52" s="53"/>
      <c r="X52" s="53"/>
      <c r="Y52" s="53"/>
      <c r="Z52" s="53"/>
      <c r="AA52" s="53" t="s">
        <v>150</v>
      </c>
      <c r="AB52" s="53" t="s">
        <v>151</v>
      </c>
      <c r="AC52" s="53">
        <v>12656</v>
      </c>
      <c r="AD52" s="53">
        <v>6053</v>
      </c>
      <c r="AE52" s="53" t="s">
        <v>188</v>
      </c>
      <c r="AF52" s="53" t="s">
        <v>189</v>
      </c>
      <c r="AG52" s="53" t="s">
        <v>153</v>
      </c>
      <c r="AH52" s="53"/>
      <c r="AI52" s="53">
        <f>13436+321</f>
        <v>13757</v>
      </c>
    </row>
    <row r="53" spans="1:35" ht="51" x14ac:dyDescent="0.2">
      <c r="A53" s="46">
        <v>27</v>
      </c>
      <c r="B53" s="47" t="s">
        <v>154</v>
      </c>
      <c r="C53" s="48" t="str">
        <f t="shared" ca="1" si="1"/>
        <v xml:space="preserve">Котлы битумные передвижные 400 л
маш.-ч
</v>
      </c>
      <c r="D53" s="46">
        <v>-4.25</v>
      </c>
      <c r="E53" s="49">
        <v>30</v>
      </c>
      <c r="F53" s="49">
        <v>30</v>
      </c>
      <c r="G53" s="49"/>
      <c r="H53" s="50" t="s">
        <v>155</v>
      </c>
      <c r="I53" s="51">
        <v>-697</v>
      </c>
      <c r="J53" s="49"/>
      <c r="K53" s="49">
        <v>-697</v>
      </c>
      <c r="L53" s="49" t="str">
        <f>IF(-4.25*0=0," ",TEXT(,ROUND((-4.25*0*1),2)))</f>
        <v xml:space="preserve"> </v>
      </c>
      <c r="M53" s="49"/>
      <c r="N53" s="49"/>
      <c r="O53" s="52"/>
      <c r="P53" s="52"/>
      <c r="Q53" s="52"/>
      <c r="R53" s="52"/>
      <c r="S53" s="52"/>
      <c r="T53" s="53"/>
      <c r="U53" s="53"/>
      <c r="V53" s="53"/>
      <c r="W53" s="53"/>
      <c r="X53" s="53"/>
      <c r="Y53" s="53"/>
      <c r="Z53" s="53"/>
      <c r="AA53" s="53" t="s">
        <v>156</v>
      </c>
      <c r="AB53" s="53" t="s">
        <v>157</v>
      </c>
      <c r="AC53" s="53"/>
      <c r="AD53" s="53"/>
      <c r="AE53" s="53"/>
      <c r="AF53" s="53" t="s">
        <v>158</v>
      </c>
      <c r="AG53" s="53" t="s">
        <v>159</v>
      </c>
      <c r="AH53" s="53"/>
      <c r="AI53" s="53">
        <f>0+0</f>
        <v>0</v>
      </c>
    </row>
    <row r="54" spans="1:35" ht="51" x14ac:dyDescent="0.2">
      <c r="A54" s="46">
        <v>28</v>
      </c>
      <c r="B54" s="47" t="s">
        <v>167</v>
      </c>
      <c r="C54" s="48" t="str">
        <f t="shared" ca="1" si="1"/>
        <v xml:space="preserve">Мастика битумная кровельная горячая
т
</v>
      </c>
      <c r="D54" s="46">
        <v>-0.41410000000000002</v>
      </c>
      <c r="E54" s="49">
        <v>3390</v>
      </c>
      <c r="F54" s="49"/>
      <c r="G54" s="49">
        <v>3390</v>
      </c>
      <c r="H54" s="50" t="s">
        <v>168</v>
      </c>
      <c r="I54" s="51">
        <v>-14274</v>
      </c>
      <c r="J54" s="49"/>
      <c r="K54" s="49"/>
      <c r="L54" s="49" t="str">
        <f>IF(-0.4141*3390=0," ",TEXT(,ROUND((-0.4141*3390*10.167),2)))</f>
        <v>-14272.42</v>
      </c>
      <c r="M54" s="49"/>
      <c r="N54" s="49"/>
      <c r="O54" s="52"/>
      <c r="P54" s="52"/>
      <c r="Q54" s="52"/>
      <c r="R54" s="52"/>
      <c r="S54" s="52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 t="s">
        <v>169</v>
      </c>
      <c r="AG54" s="53" t="s">
        <v>163</v>
      </c>
      <c r="AH54" s="53"/>
      <c r="AI54" s="53">
        <f>0+0</f>
        <v>0</v>
      </c>
    </row>
    <row r="55" spans="1:35" ht="63.75" x14ac:dyDescent="0.2">
      <c r="A55" s="46">
        <v>29</v>
      </c>
      <c r="B55" s="47" t="s">
        <v>170</v>
      </c>
      <c r="C55" s="48" t="str">
        <f t="shared" ca="1" si="1"/>
        <v xml:space="preserve">Плиты из минеральной ваты на синтетическом связующем М-125 (ГОСТ 9573-96)
м3
</v>
      </c>
      <c r="D55" s="46">
        <v>-12.73</v>
      </c>
      <c r="E55" s="49">
        <v>530</v>
      </c>
      <c r="F55" s="49"/>
      <c r="G55" s="49">
        <v>530</v>
      </c>
      <c r="H55" s="50" t="s">
        <v>171</v>
      </c>
      <c r="I55" s="51">
        <v>-38944</v>
      </c>
      <c r="J55" s="49"/>
      <c r="K55" s="49"/>
      <c r="L55" s="49" t="str">
        <f>IF(-12.73*530=0," ",TEXT(,ROUND((-12.73*530*5.772),2)))</f>
        <v>-38943.11</v>
      </c>
      <c r="M55" s="49"/>
      <c r="N55" s="49"/>
      <c r="O55" s="52"/>
      <c r="P55" s="52"/>
      <c r="Q55" s="52"/>
      <c r="R55" s="52"/>
      <c r="S55" s="52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 t="s">
        <v>172</v>
      </c>
      <c r="AG55" s="53" t="s">
        <v>173</v>
      </c>
      <c r="AH55" s="53"/>
      <c r="AI55" s="53">
        <f>0+0</f>
        <v>0</v>
      </c>
    </row>
    <row r="56" spans="1:35" ht="76.5" x14ac:dyDescent="0.2">
      <c r="A56" s="46">
        <v>30</v>
      </c>
      <c r="B56" s="47" t="s">
        <v>190</v>
      </c>
      <c r="C56" s="48" t="str">
        <f t="shared" ca="1" si="1"/>
        <v xml:space="preserve">Плиты теплоизоляционные энергетические гидрофобизированные базальтовые: ПТЭ-125 , размером 2000х1000х50 мм 4146,89/5,56=745,84
м3
</v>
      </c>
      <c r="D56" s="46" t="s">
        <v>191</v>
      </c>
      <c r="E56" s="49">
        <v>745.84</v>
      </c>
      <c r="F56" s="49"/>
      <c r="G56" s="49">
        <v>745.84</v>
      </c>
      <c r="H56" s="50" t="s">
        <v>141</v>
      </c>
      <c r="I56" s="51">
        <v>396801</v>
      </c>
      <c r="J56" s="49"/>
      <c r="K56" s="49"/>
      <c r="L56" s="49" t="str">
        <f>IF(95.687*745.84=0," ",TEXT(,ROUND((95.687*745.84*5.56),2)))</f>
        <v>396801.59</v>
      </c>
      <c r="M56" s="49"/>
      <c r="N56" s="49"/>
      <c r="O56" s="52"/>
      <c r="P56" s="52"/>
      <c r="Q56" s="52"/>
      <c r="R56" s="52"/>
      <c r="S56" s="52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 t="s">
        <v>192</v>
      </c>
      <c r="AG56" s="53" t="s">
        <v>173</v>
      </c>
      <c r="AH56" s="53"/>
      <c r="AI56" s="53">
        <f>0+0</f>
        <v>0</v>
      </c>
    </row>
    <row r="57" spans="1:35" ht="89.25" x14ac:dyDescent="0.2">
      <c r="A57" s="46">
        <v>31</v>
      </c>
      <c r="B57" s="47" t="s">
        <v>132</v>
      </c>
      <c r="C57" s="48" t="str">
        <f t="shared" ca="1" si="1"/>
        <v xml:space="preserve">Устройство покрытия из рулонных материалов: насухо без промазки кромок
100 м2 кровли
1800 руб. НР 71%=83%*0,85 от ФОТ (2535 руб.)
1318 руб.СП 52%=65%*0,8 от ФОТ (2535 руб.)
</v>
      </c>
      <c r="D57" s="46">
        <v>4.1319999999999997</v>
      </c>
      <c r="E57" s="49" t="s">
        <v>133</v>
      </c>
      <c r="F57" s="49">
        <v>5.23</v>
      </c>
      <c r="G57" s="49">
        <v>883.33</v>
      </c>
      <c r="H57" s="50" t="s">
        <v>134</v>
      </c>
      <c r="I57" s="51">
        <v>21081</v>
      </c>
      <c r="J57" s="49">
        <v>2535</v>
      </c>
      <c r="K57" s="49">
        <v>260</v>
      </c>
      <c r="L57" s="49" t="str">
        <f>IF(4.132*883.33=0," ",TEXT(,ROUND((4.132*883.33*5.01),2)))</f>
        <v>18286.1</v>
      </c>
      <c r="M57" s="49">
        <v>4.5199999999999996</v>
      </c>
      <c r="N57" s="49">
        <v>18.68</v>
      </c>
      <c r="O57" s="52"/>
      <c r="P57" s="52"/>
      <c r="Q57" s="52"/>
      <c r="R57" s="52"/>
      <c r="S57" s="52"/>
      <c r="T57" s="53"/>
      <c r="U57" s="53"/>
      <c r="V57" s="53"/>
      <c r="W57" s="53"/>
      <c r="X57" s="53"/>
      <c r="Y57" s="53"/>
      <c r="Z57" s="53"/>
      <c r="AA57" s="53" t="s">
        <v>43</v>
      </c>
      <c r="AB57" s="53" t="s">
        <v>44</v>
      </c>
      <c r="AC57" s="53">
        <v>1800</v>
      </c>
      <c r="AD57" s="53">
        <v>1318</v>
      </c>
      <c r="AE57" s="53"/>
      <c r="AF57" s="53" t="s">
        <v>135</v>
      </c>
      <c r="AG57" s="53" t="s">
        <v>60</v>
      </c>
      <c r="AH57" s="53"/>
      <c r="AI57" s="53">
        <f>2535+0</f>
        <v>2535</v>
      </c>
    </row>
    <row r="58" spans="1:35" ht="63.75" x14ac:dyDescent="0.2">
      <c r="A58" s="46">
        <v>32</v>
      </c>
      <c r="B58" s="47" t="s">
        <v>136</v>
      </c>
      <c r="C58" s="48" t="str">
        <f t="shared" ca="1" si="1"/>
        <v xml:space="preserve">Рубероид кровельный с крупнозернистой посыпкой марки: РКК-350б
м2
</v>
      </c>
      <c r="D58" s="46">
        <v>-475.2</v>
      </c>
      <c r="E58" s="49">
        <v>7.46</v>
      </c>
      <c r="F58" s="49"/>
      <c r="G58" s="49">
        <v>7.46</v>
      </c>
      <c r="H58" s="50" t="s">
        <v>137</v>
      </c>
      <c r="I58" s="51">
        <v>-17739</v>
      </c>
      <c r="J58" s="49"/>
      <c r="K58" s="49"/>
      <c r="L58" s="49" t="str">
        <f>IF(-475.2*7.46=0," ",TEXT(,ROUND((-475.2*7.46*5.004),2)))</f>
        <v>-17739.14</v>
      </c>
      <c r="M58" s="49"/>
      <c r="N58" s="49"/>
      <c r="O58" s="52"/>
      <c r="P58" s="52"/>
      <c r="Q58" s="52"/>
      <c r="R58" s="52"/>
      <c r="S58" s="52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 t="s">
        <v>138</v>
      </c>
      <c r="AG58" s="53" t="s">
        <v>139</v>
      </c>
      <c r="AH58" s="53"/>
      <c r="AI58" s="53">
        <f>0+0</f>
        <v>0</v>
      </c>
    </row>
    <row r="59" spans="1:35" ht="63.75" x14ac:dyDescent="0.2">
      <c r="A59" s="46">
        <v>33</v>
      </c>
      <c r="B59" s="47" t="s">
        <v>193</v>
      </c>
      <c r="C59" s="48" t="str">
        <f t="shared" ca="1" si="1"/>
        <v xml:space="preserve">Изоспан: Защитный материал марки А 20,40/5,56=3,67
м2
</v>
      </c>
      <c r="D59" s="46">
        <v>475.2</v>
      </c>
      <c r="E59" s="49">
        <v>3.67</v>
      </c>
      <c r="F59" s="49"/>
      <c r="G59" s="49">
        <v>3.67</v>
      </c>
      <c r="H59" s="50" t="s">
        <v>141</v>
      </c>
      <c r="I59" s="51">
        <v>9697</v>
      </c>
      <c r="J59" s="49"/>
      <c r="K59" s="49"/>
      <c r="L59" s="49" t="str">
        <f>IF(475.2*3.67=0," ",TEXT(,ROUND((475.2*3.67*5.56),2)))</f>
        <v>9696.55</v>
      </c>
      <c r="M59" s="49"/>
      <c r="N59" s="49"/>
      <c r="O59" s="52"/>
      <c r="P59" s="52"/>
      <c r="Q59" s="52"/>
      <c r="R59" s="52"/>
      <c r="S59" s="52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 t="s">
        <v>194</v>
      </c>
      <c r="AG59" s="53" t="s">
        <v>139</v>
      </c>
      <c r="AH59" s="53"/>
      <c r="AI59" s="53">
        <f>0+0</f>
        <v>0</v>
      </c>
    </row>
    <row r="60" spans="1:35" ht="89.25" x14ac:dyDescent="0.2">
      <c r="A60" s="46">
        <v>34</v>
      </c>
      <c r="B60" s="47" t="s">
        <v>195</v>
      </c>
      <c r="C60" s="48" t="str">
        <f t="shared" ca="1" si="1"/>
        <v xml:space="preserve">Укладка ходовых досок
100 м ходов
198 руб. НР 90%=118%*(0,85*0,9) от ФОТ (220 руб.)
95 руб.СП 43%=63%*(0,8*0,85) от ФОТ (220 руб.)
</v>
      </c>
      <c r="D60" s="46">
        <v>0.33</v>
      </c>
      <c r="E60" s="49" t="s">
        <v>196</v>
      </c>
      <c r="F60" s="49" t="s">
        <v>197</v>
      </c>
      <c r="G60" s="49">
        <v>1007.15</v>
      </c>
      <c r="H60" s="50" t="s">
        <v>198</v>
      </c>
      <c r="I60" s="51">
        <v>2052</v>
      </c>
      <c r="J60" s="49">
        <v>220</v>
      </c>
      <c r="K60" s="49">
        <v>56</v>
      </c>
      <c r="L60" s="49" t="str">
        <f>IF(0.33*1007.15=0," ",TEXT(,ROUND((0.33*1007.15*5.35),2)))</f>
        <v>1778.12</v>
      </c>
      <c r="M60" s="49" t="s">
        <v>199</v>
      </c>
      <c r="N60" s="49" t="s">
        <v>200</v>
      </c>
      <c r="O60" s="52"/>
      <c r="P60" s="52"/>
      <c r="Q60" s="52"/>
      <c r="R60" s="52"/>
      <c r="S60" s="52"/>
      <c r="T60" s="53"/>
      <c r="U60" s="53"/>
      <c r="V60" s="53"/>
      <c r="W60" s="53"/>
      <c r="X60" s="53"/>
      <c r="Y60" s="53"/>
      <c r="Z60" s="53"/>
      <c r="AA60" s="53" t="s">
        <v>201</v>
      </c>
      <c r="AB60" s="53" t="s">
        <v>202</v>
      </c>
      <c r="AC60" s="53">
        <v>198</v>
      </c>
      <c r="AD60" s="53">
        <v>95</v>
      </c>
      <c r="AE60" s="53"/>
      <c r="AF60" s="53" t="s">
        <v>203</v>
      </c>
      <c r="AG60" s="53" t="s">
        <v>204</v>
      </c>
      <c r="AH60" s="53"/>
      <c r="AI60" s="53">
        <f>220+0</f>
        <v>220</v>
      </c>
    </row>
    <row r="61" spans="1:35" ht="63.75" x14ac:dyDescent="0.2">
      <c r="A61" s="46">
        <v>35</v>
      </c>
      <c r="B61" s="47" t="s">
        <v>205</v>
      </c>
      <c r="C61" s="48" t="str">
        <f t="shared" ca="1" si="1"/>
        <v xml:space="preserve">Доски необрезные хвойных пород длиной: 4-6,5 м, все ширины, толщиной 32-40 мм, III сорта
м3
</v>
      </c>
      <c r="D61" s="46">
        <v>-0.39600000000000002</v>
      </c>
      <c r="E61" s="49">
        <v>832.7</v>
      </c>
      <c r="F61" s="49"/>
      <c r="G61" s="49">
        <v>832.7</v>
      </c>
      <c r="H61" s="50" t="s">
        <v>206</v>
      </c>
      <c r="I61" s="51">
        <v>-1770</v>
      </c>
      <c r="J61" s="49"/>
      <c r="K61" s="49"/>
      <c r="L61" s="49" t="str">
        <f>IF(-0.396*832.7=0," ",TEXT(,ROUND((-0.396*832.7*5.364),2)))</f>
        <v>-1768.77</v>
      </c>
      <c r="M61" s="49"/>
      <c r="N61" s="49"/>
      <c r="O61" s="52"/>
      <c r="P61" s="52"/>
      <c r="Q61" s="52"/>
      <c r="R61" s="52"/>
      <c r="S61" s="52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 t="s">
        <v>207</v>
      </c>
      <c r="AG61" s="53" t="s">
        <v>173</v>
      </c>
      <c r="AH61" s="53"/>
      <c r="AI61" s="53">
        <f>0+0</f>
        <v>0</v>
      </c>
    </row>
    <row r="62" spans="1:35" ht="76.5" x14ac:dyDescent="0.2">
      <c r="A62" s="46">
        <v>36</v>
      </c>
      <c r="B62" s="47" t="s">
        <v>208</v>
      </c>
      <c r="C62" s="48" t="str">
        <f t="shared" ca="1" si="1"/>
        <v xml:space="preserve">Доски обрезные хвойных пород длиной: 4-6,5 м, шириной 75-150 мм, толщиной 44 мм и более, II сорта
м3
</v>
      </c>
      <c r="D62" s="46">
        <v>0.6</v>
      </c>
      <c r="E62" s="49">
        <v>1320</v>
      </c>
      <c r="F62" s="49"/>
      <c r="G62" s="49">
        <v>1320</v>
      </c>
      <c r="H62" s="50" t="s">
        <v>209</v>
      </c>
      <c r="I62" s="51">
        <v>3294</v>
      </c>
      <c r="J62" s="49"/>
      <c r="K62" s="49"/>
      <c r="L62" s="49" t="str">
        <f>IF(0.6*1320=0," ",TEXT(,ROUND((0.6*1320*4.159),2)))</f>
        <v>3293.93</v>
      </c>
      <c r="M62" s="49"/>
      <c r="N62" s="49"/>
      <c r="O62" s="52"/>
      <c r="P62" s="52"/>
      <c r="Q62" s="52"/>
      <c r="R62" s="52"/>
      <c r="S62" s="52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 t="s">
        <v>210</v>
      </c>
      <c r="AG62" s="53" t="s">
        <v>173</v>
      </c>
      <c r="AH62" s="53"/>
      <c r="AI62" s="53">
        <f>0+0</f>
        <v>0</v>
      </c>
    </row>
    <row r="63" spans="1:35" ht="102" x14ac:dyDescent="0.2">
      <c r="A63" s="46">
        <v>37</v>
      </c>
      <c r="B63" s="47" t="s">
        <v>211</v>
      </c>
      <c r="C63" s="48" t="str">
        <f t="shared" ca="1" si="1"/>
        <v xml:space="preserve">Установка каркаса из брусьев для навесов и крылец
1 м3
715 руб. НР 90%=118%*(0,85*0,9) от ФОТ (794 руб.)
341 руб.СП 43%=63%*(0,8*0,85) от ФОТ (794 руб.)
</v>
      </c>
      <c r="D63" s="46">
        <v>0.1</v>
      </c>
      <c r="E63" s="49" t="s">
        <v>212</v>
      </c>
      <c r="F63" s="49" t="s">
        <v>213</v>
      </c>
      <c r="G63" s="49">
        <v>2404.8000000000002</v>
      </c>
      <c r="H63" s="50" t="s">
        <v>214</v>
      </c>
      <c r="I63" s="51">
        <v>1542</v>
      </c>
      <c r="J63" s="49">
        <v>794</v>
      </c>
      <c r="K63" s="49">
        <v>56</v>
      </c>
      <c r="L63" s="49" t="str">
        <f>IF(0.1*2404.8=0," ",TEXT(,ROUND((0.1*2404.8*2.88),2)))</f>
        <v>692.58</v>
      </c>
      <c r="M63" s="49" t="s">
        <v>215</v>
      </c>
      <c r="N63" s="49" t="s">
        <v>216</v>
      </c>
      <c r="O63" s="52"/>
      <c r="P63" s="52"/>
      <c r="Q63" s="52"/>
      <c r="R63" s="52"/>
      <c r="S63" s="52"/>
      <c r="T63" s="53"/>
      <c r="U63" s="53"/>
      <c r="V63" s="53"/>
      <c r="W63" s="53"/>
      <c r="X63" s="53"/>
      <c r="Y63" s="53"/>
      <c r="Z63" s="53"/>
      <c r="AA63" s="53" t="s">
        <v>201</v>
      </c>
      <c r="AB63" s="53" t="s">
        <v>202</v>
      </c>
      <c r="AC63" s="53">
        <v>715</v>
      </c>
      <c r="AD63" s="53">
        <v>341</v>
      </c>
      <c r="AE63" s="53"/>
      <c r="AF63" s="53" t="s">
        <v>217</v>
      </c>
      <c r="AG63" s="53" t="s">
        <v>77</v>
      </c>
      <c r="AH63" s="53"/>
      <c r="AI63" s="53">
        <f>794+0</f>
        <v>794</v>
      </c>
    </row>
    <row r="64" spans="1:35" ht="114.75" x14ac:dyDescent="0.2">
      <c r="A64" s="46">
        <v>38</v>
      </c>
      <c r="B64" s="47" t="s">
        <v>218</v>
      </c>
      <c r="C64" s="48" t="str">
        <f t="shared" ca="1" si="1"/>
        <v xml:space="preserve">Монтаж: конструкций дверей, люков, лазов для автокоптилок и пароварочных камер
1 т конструкций
1644 руб. НР 69%=90%*(0,85*0,9) от ФОТ (2383 руб.)
1382 руб.СП 58%=85%*(0,8*0,85) от ФОТ (2383 руб.)
</v>
      </c>
      <c r="D64" s="46">
        <v>0.16</v>
      </c>
      <c r="E64" s="49" t="s">
        <v>219</v>
      </c>
      <c r="F64" s="49" t="s">
        <v>220</v>
      </c>
      <c r="G64" s="49">
        <v>36.57</v>
      </c>
      <c r="H64" s="50" t="s">
        <v>221</v>
      </c>
      <c r="I64" s="51">
        <v>2621</v>
      </c>
      <c r="J64" s="49">
        <v>2366</v>
      </c>
      <c r="K64" s="49" t="s">
        <v>222</v>
      </c>
      <c r="L64" s="49" t="str">
        <f>IF(0.16*36.57=0," ",TEXT(,ROUND((0.16*36.57*5.38),2)))</f>
        <v>31.48</v>
      </c>
      <c r="M64" s="49" t="s">
        <v>223</v>
      </c>
      <c r="N64" s="49" t="s">
        <v>224</v>
      </c>
      <c r="O64" s="52"/>
      <c r="P64" s="52"/>
      <c r="Q64" s="52"/>
      <c r="R64" s="52"/>
      <c r="S64" s="52"/>
      <c r="T64" s="53"/>
      <c r="U64" s="53"/>
      <c r="V64" s="53"/>
      <c r="W64" s="53"/>
      <c r="X64" s="53"/>
      <c r="Y64" s="53"/>
      <c r="Z64" s="53"/>
      <c r="AA64" s="53" t="s">
        <v>225</v>
      </c>
      <c r="AB64" s="53" t="s">
        <v>226</v>
      </c>
      <c r="AC64" s="53">
        <v>1644</v>
      </c>
      <c r="AD64" s="53">
        <v>1382</v>
      </c>
      <c r="AE64" s="53"/>
      <c r="AF64" s="53" t="s">
        <v>227</v>
      </c>
      <c r="AG64" s="53" t="s">
        <v>228</v>
      </c>
      <c r="AH64" s="53"/>
      <c r="AI64" s="53">
        <f>2366+17</f>
        <v>2383</v>
      </c>
    </row>
    <row r="65" spans="1:35" ht="63.75" x14ac:dyDescent="0.2">
      <c r="A65" s="55">
        <v>39</v>
      </c>
      <c r="B65" s="56" t="s">
        <v>229</v>
      </c>
      <c r="C65" s="57" t="str">
        <f t="shared" ca="1" si="1"/>
        <v xml:space="preserve">Люки противопожарные: ЛПМ 01/60, 900х1100 мм 9961,57/5,56=1791,65
шт.
</v>
      </c>
      <c r="D65" s="55">
        <v>2</v>
      </c>
      <c r="E65" s="58">
        <v>1791.65</v>
      </c>
      <c r="F65" s="58"/>
      <c r="G65" s="58">
        <v>1791.65</v>
      </c>
      <c r="H65" s="59" t="s">
        <v>141</v>
      </c>
      <c r="I65" s="60">
        <v>19921</v>
      </c>
      <c r="J65" s="58"/>
      <c r="K65" s="58"/>
      <c r="L65" s="58" t="str">
        <f>IF(2*1791.65=0," ",TEXT(,ROUND((2*1791.65*5.56),2)))</f>
        <v>19923.15</v>
      </c>
      <c r="M65" s="58"/>
      <c r="N65" s="58"/>
      <c r="O65" s="52"/>
      <c r="P65" s="52"/>
      <c r="Q65" s="52"/>
      <c r="R65" s="52"/>
      <c r="S65" s="52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 t="s">
        <v>230</v>
      </c>
      <c r="AG65" s="53" t="s">
        <v>231</v>
      </c>
      <c r="AH65" s="53"/>
      <c r="AI65" s="53">
        <f>0+0</f>
        <v>0</v>
      </c>
    </row>
    <row r="66" spans="1:35" ht="25.5" x14ac:dyDescent="0.2">
      <c r="A66" s="72" t="s">
        <v>104</v>
      </c>
      <c r="B66" s="67"/>
      <c r="C66" s="67"/>
      <c r="D66" s="67"/>
      <c r="E66" s="67"/>
      <c r="F66" s="67"/>
      <c r="G66" s="67"/>
      <c r="H66" s="67"/>
      <c r="I66" s="51">
        <v>96134</v>
      </c>
      <c r="J66" s="49">
        <v>7590</v>
      </c>
      <c r="K66" s="49" t="s">
        <v>232</v>
      </c>
      <c r="L66" s="49">
        <v>86965</v>
      </c>
      <c r="M66" s="49"/>
      <c r="N66" s="49" t="s">
        <v>233</v>
      </c>
      <c r="O66" s="18"/>
      <c r="P66" s="19"/>
      <c r="Q66" s="18"/>
      <c r="R66" s="18"/>
      <c r="S66" s="18"/>
    </row>
    <row r="67" spans="1:35" ht="25.5" x14ac:dyDescent="0.2">
      <c r="A67" s="72" t="s">
        <v>234</v>
      </c>
      <c r="B67" s="67"/>
      <c r="C67" s="67"/>
      <c r="D67" s="67"/>
      <c r="E67" s="67"/>
      <c r="F67" s="67"/>
      <c r="G67" s="67"/>
      <c r="H67" s="67"/>
      <c r="I67" s="51">
        <v>97894</v>
      </c>
      <c r="J67" s="49">
        <v>8673</v>
      </c>
      <c r="K67" s="49" t="s">
        <v>235</v>
      </c>
      <c r="L67" s="49">
        <v>86965</v>
      </c>
      <c r="M67" s="49"/>
      <c r="N67" s="49" t="s">
        <v>236</v>
      </c>
      <c r="O67" s="18"/>
      <c r="P67" s="19"/>
      <c r="Q67" s="18"/>
      <c r="R67" s="18"/>
      <c r="S67" s="18"/>
    </row>
    <row r="68" spans="1:35" x14ac:dyDescent="0.2">
      <c r="A68" s="72" t="s">
        <v>237</v>
      </c>
      <c r="B68" s="67"/>
      <c r="C68" s="67"/>
      <c r="D68" s="67"/>
      <c r="E68" s="67"/>
      <c r="F68" s="67"/>
      <c r="G68" s="67"/>
      <c r="H68" s="67"/>
      <c r="I68" s="51"/>
      <c r="J68" s="49"/>
      <c r="K68" s="49"/>
      <c r="L68" s="49"/>
      <c r="M68" s="49"/>
      <c r="N68" s="49"/>
      <c r="O68" s="18"/>
      <c r="P68" s="19"/>
      <c r="Q68" s="18"/>
      <c r="R68" s="18"/>
      <c r="S68" s="18"/>
    </row>
    <row r="69" spans="1:35" ht="27.95" customHeight="1" x14ac:dyDescent="0.2">
      <c r="A69" s="72" t="s">
        <v>238</v>
      </c>
      <c r="B69" s="67"/>
      <c r="C69" s="67"/>
      <c r="D69" s="67"/>
      <c r="E69" s="67"/>
      <c r="F69" s="67"/>
      <c r="G69" s="67"/>
      <c r="H69" s="67"/>
      <c r="I69" s="51">
        <v>1760</v>
      </c>
      <c r="J69" s="49">
        <v>1083</v>
      </c>
      <c r="K69" s="49" t="s">
        <v>239</v>
      </c>
      <c r="L69" s="49"/>
      <c r="M69" s="49"/>
      <c r="N69" s="49" t="s">
        <v>240</v>
      </c>
      <c r="O69" s="18"/>
      <c r="P69" s="19"/>
      <c r="Q69" s="18"/>
      <c r="R69" s="18"/>
      <c r="S69" s="18"/>
    </row>
    <row r="70" spans="1:35" ht="25.5" x14ac:dyDescent="0.2">
      <c r="A70" s="72" t="s">
        <v>107</v>
      </c>
      <c r="B70" s="67"/>
      <c r="C70" s="67"/>
      <c r="D70" s="67"/>
      <c r="E70" s="67"/>
      <c r="F70" s="67"/>
      <c r="G70" s="67"/>
      <c r="H70" s="67"/>
      <c r="I70" s="51">
        <v>657174</v>
      </c>
      <c r="J70" s="49">
        <v>146574</v>
      </c>
      <c r="K70" s="49" t="s">
        <v>241</v>
      </c>
      <c r="L70" s="49">
        <v>484275</v>
      </c>
      <c r="M70" s="49"/>
      <c r="N70" s="49" t="s">
        <v>236</v>
      </c>
      <c r="O70" s="18"/>
      <c r="P70" s="19"/>
      <c r="Q70" s="18"/>
      <c r="R70" s="18"/>
      <c r="S70" s="18"/>
    </row>
    <row r="71" spans="1:35" x14ac:dyDescent="0.2">
      <c r="A71" s="72" t="s">
        <v>109</v>
      </c>
      <c r="B71" s="67"/>
      <c r="C71" s="67"/>
      <c r="D71" s="67"/>
      <c r="E71" s="67"/>
      <c r="F71" s="67"/>
      <c r="G71" s="67"/>
      <c r="H71" s="67"/>
      <c r="I71" s="51">
        <v>136687</v>
      </c>
      <c r="J71" s="49"/>
      <c r="K71" s="49"/>
      <c r="L71" s="49"/>
      <c r="M71" s="49"/>
      <c r="N71" s="49"/>
      <c r="O71" s="18"/>
      <c r="P71" s="19"/>
      <c r="Q71" s="18"/>
      <c r="R71" s="18"/>
      <c r="S71" s="18"/>
    </row>
    <row r="72" spans="1:35" x14ac:dyDescent="0.2">
      <c r="A72" s="72" t="s">
        <v>110</v>
      </c>
      <c r="B72" s="67"/>
      <c r="C72" s="67"/>
      <c r="D72" s="67"/>
      <c r="E72" s="67"/>
      <c r="F72" s="67"/>
      <c r="G72" s="67"/>
      <c r="H72" s="67"/>
      <c r="I72" s="51">
        <v>67949</v>
      </c>
      <c r="J72" s="49"/>
      <c r="K72" s="49"/>
      <c r="L72" s="49"/>
      <c r="M72" s="49"/>
      <c r="N72" s="49"/>
      <c r="O72" s="18"/>
      <c r="P72" s="19"/>
      <c r="Q72" s="18"/>
      <c r="R72" s="18"/>
      <c r="S72" s="18"/>
    </row>
    <row r="73" spans="1:35" ht="25.5" x14ac:dyDescent="0.2">
      <c r="A73" s="73" t="s">
        <v>242</v>
      </c>
      <c r="B73" s="74"/>
      <c r="C73" s="74"/>
      <c r="D73" s="74"/>
      <c r="E73" s="74"/>
      <c r="F73" s="74"/>
      <c r="G73" s="74"/>
      <c r="H73" s="74"/>
      <c r="I73" s="61">
        <v>861810</v>
      </c>
      <c r="J73" s="62"/>
      <c r="K73" s="62"/>
      <c r="L73" s="62"/>
      <c r="M73" s="62"/>
      <c r="N73" s="62" t="s">
        <v>236</v>
      </c>
      <c r="O73" s="18"/>
      <c r="P73" s="19"/>
      <c r="Q73" s="18"/>
      <c r="R73" s="18"/>
      <c r="S73" s="18"/>
    </row>
    <row r="74" spans="1:35" ht="21" customHeight="1" x14ac:dyDescent="0.2">
      <c r="A74" s="70" t="s">
        <v>243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</row>
    <row r="75" spans="1:35" ht="102" x14ac:dyDescent="0.2">
      <c r="A75" s="46">
        <v>40</v>
      </c>
      <c r="B75" s="47" t="s">
        <v>244</v>
      </c>
      <c r="C75" s="48" t="str">
        <f t="shared" ref="C75:C112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Установка стропил
1 м3 древесины в конструкции
83655 руб. НР 90%=118%*(0,85*0,9) от ФОТ (92950 руб.)
39969 руб.СП 43%=63%*(0,8*0,85) от ФОТ (92950 руб.)
</v>
      </c>
      <c r="D75" s="46">
        <v>23.63</v>
      </c>
      <c r="E75" s="49" t="s">
        <v>245</v>
      </c>
      <c r="F75" s="49" t="s">
        <v>246</v>
      </c>
      <c r="G75" s="49">
        <v>2062.2600000000002</v>
      </c>
      <c r="H75" s="50" t="s">
        <v>247</v>
      </c>
      <c r="I75" s="51">
        <v>285249</v>
      </c>
      <c r="J75" s="49">
        <v>91936</v>
      </c>
      <c r="K75" s="49" t="s">
        <v>248</v>
      </c>
      <c r="L75" s="49" t="str">
        <f>IF(23.63*2062.26=0," ",TEXT(,ROUND((23.63*2062.26*3.71),2)))</f>
        <v>180792.77</v>
      </c>
      <c r="M75" s="49" t="s">
        <v>249</v>
      </c>
      <c r="N75" s="49" t="s">
        <v>250</v>
      </c>
      <c r="O75" s="52"/>
      <c r="P75" s="52"/>
      <c r="Q75" s="52"/>
      <c r="R75" s="52"/>
      <c r="S75" s="52"/>
      <c r="T75" s="53"/>
      <c r="U75" s="53"/>
      <c r="V75" s="53"/>
      <c r="W75" s="53"/>
      <c r="X75" s="53"/>
      <c r="Y75" s="53"/>
      <c r="Z75" s="53"/>
      <c r="AA75" s="53" t="s">
        <v>201</v>
      </c>
      <c r="AB75" s="53" t="s">
        <v>202</v>
      </c>
      <c r="AC75" s="53">
        <v>83655</v>
      </c>
      <c r="AD75" s="53">
        <v>39969</v>
      </c>
      <c r="AE75" s="53"/>
      <c r="AF75" s="53" t="s">
        <v>251</v>
      </c>
      <c r="AG75" s="53" t="s">
        <v>252</v>
      </c>
      <c r="AH75" s="53"/>
      <c r="AI75" s="53">
        <f>91936+1014</f>
        <v>92950</v>
      </c>
    </row>
    <row r="76" spans="1:35" ht="76.5" x14ac:dyDescent="0.2">
      <c r="A76" s="46">
        <v>41</v>
      </c>
      <c r="B76" s="47" t="s">
        <v>253</v>
      </c>
      <c r="C76" s="48" t="str">
        <f t="shared" ca="1" si="2"/>
        <v xml:space="preserve">Устройство обрешетки сплошной из досок
100 м2
10967 руб. НР 71%=83%*0,85 от ФОТ (15447 руб.)
8032 руб.СП 52%=65%*0,8 от ФОТ (15447 руб.)
</v>
      </c>
      <c r="D76" s="46">
        <v>3.5314999999999999</v>
      </c>
      <c r="E76" s="49" t="s">
        <v>254</v>
      </c>
      <c r="F76" s="49" t="s">
        <v>255</v>
      </c>
      <c r="G76" s="49">
        <v>2198.6799999999998</v>
      </c>
      <c r="H76" s="50" t="s">
        <v>256</v>
      </c>
      <c r="I76" s="51">
        <v>59362</v>
      </c>
      <c r="J76" s="49">
        <v>15092</v>
      </c>
      <c r="K76" s="49" t="s">
        <v>257</v>
      </c>
      <c r="L76" s="49" t="str">
        <f>IF(3.5315*2198.68=0," ",TEXT(,ROUND((3.5315*2198.68*5.51),2)))</f>
        <v>42783.16</v>
      </c>
      <c r="M76" s="49" t="s">
        <v>258</v>
      </c>
      <c r="N76" s="49" t="s">
        <v>259</v>
      </c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  <c r="Z76" s="53"/>
      <c r="AA76" s="53" t="s">
        <v>43</v>
      </c>
      <c r="AB76" s="53" t="s">
        <v>44</v>
      </c>
      <c r="AC76" s="53">
        <v>10967</v>
      </c>
      <c r="AD76" s="53">
        <v>8032</v>
      </c>
      <c r="AE76" s="53"/>
      <c r="AF76" s="53" t="s">
        <v>260</v>
      </c>
      <c r="AG76" s="53" t="s">
        <v>261</v>
      </c>
      <c r="AH76" s="53"/>
      <c r="AI76" s="53">
        <f>15092+355</f>
        <v>15447</v>
      </c>
    </row>
    <row r="77" spans="1:35" ht="63.75" x14ac:dyDescent="0.2">
      <c r="A77" s="46">
        <v>42</v>
      </c>
      <c r="B77" s="47" t="s">
        <v>262</v>
      </c>
      <c r="C77" s="48" t="str">
        <f t="shared" ca="1" si="2"/>
        <v xml:space="preserve">Доски необрезные хвойных пород длиной: 4-6,5 м, все ширины, толщиной 25 мм, III сорта
м3
</v>
      </c>
      <c r="D77" s="46">
        <v>-9.3230000000000004</v>
      </c>
      <c r="E77" s="49">
        <v>792</v>
      </c>
      <c r="F77" s="49"/>
      <c r="G77" s="49">
        <v>792</v>
      </c>
      <c r="H77" s="50" t="s">
        <v>263</v>
      </c>
      <c r="I77" s="51">
        <v>-41638</v>
      </c>
      <c r="J77" s="49"/>
      <c r="K77" s="49"/>
      <c r="L77" s="49" t="str">
        <f>IF(-9.323*792=0," ",TEXT(,ROUND((-9.323*792*5.639),2)))</f>
        <v>-41637.34</v>
      </c>
      <c r="M77" s="49"/>
      <c r="N77" s="49"/>
      <c r="O77" s="52"/>
      <c r="P77" s="52"/>
      <c r="Q77" s="52"/>
      <c r="R77" s="52"/>
      <c r="S77" s="52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 t="s">
        <v>264</v>
      </c>
      <c r="AG77" s="53" t="s">
        <v>173</v>
      </c>
      <c r="AH77" s="53"/>
      <c r="AI77" s="53">
        <f>0+0</f>
        <v>0</v>
      </c>
    </row>
    <row r="78" spans="1:35" ht="76.5" x14ac:dyDescent="0.2">
      <c r="A78" s="46">
        <v>43</v>
      </c>
      <c r="B78" s="47" t="s">
        <v>208</v>
      </c>
      <c r="C78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78" s="46">
        <v>18.646000000000001</v>
      </c>
      <c r="E78" s="49">
        <v>1320</v>
      </c>
      <c r="F78" s="49"/>
      <c r="G78" s="49">
        <v>1320</v>
      </c>
      <c r="H78" s="50" t="s">
        <v>209</v>
      </c>
      <c r="I78" s="51">
        <v>102365</v>
      </c>
      <c r="J78" s="49"/>
      <c r="K78" s="49"/>
      <c r="L78" s="49" t="str">
        <f>IF(18.646*1320=0," ",TEXT(,ROUND((18.646*1320*4.159),2)))</f>
        <v>102364.3</v>
      </c>
      <c r="M78" s="49"/>
      <c r="N78" s="49"/>
      <c r="O78" s="52"/>
      <c r="P78" s="52"/>
      <c r="Q78" s="52"/>
      <c r="R78" s="52"/>
      <c r="S78" s="52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 t="s">
        <v>210</v>
      </c>
      <c r="AG78" s="53" t="s">
        <v>173</v>
      </c>
      <c r="AH78" s="53"/>
      <c r="AI78" s="53">
        <f>0+0</f>
        <v>0</v>
      </c>
    </row>
    <row r="79" spans="1:35" ht="89.25" x14ac:dyDescent="0.2">
      <c r="A79" s="46">
        <v>44</v>
      </c>
      <c r="B79" s="47" t="s">
        <v>265</v>
      </c>
      <c r="C79" s="48" t="str">
        <f t="shared" ca="1" si="2"/>
        <v xml:space="preserve">Устройство обрешетки с прозорами из досок и брусков под кровлю: из листовой стали
100 м2
4871 руб. НР 71%=83%*0,85 от ФОТ (6861 руб.)
3568 руб.СП 52%=65%*0,8 от ФОТ (6861 руб.)
</v>
      </c>
      <c r="D79" s="46">
        <v>2.3384999999999998</v>
      </c>
      <c r="E79" s="49" t="s">
        <v>266</v>
      </c>
      <c r="F79" s="49" t="s">
        <v>267</v>
      </c>
      <c r="G79" s="49">
        <v>1570.73</v>
      </c>
      <c r="H79" s="50" t="s">
        <v>268</v>
      </c>
      <c r="I79" s="51">
        <v>26643</v>
      </c>
      <c r="J79" s="49">
        <v>6692</v>
      </c>
      <c r="K79" s="49" t="s">
        <v>269</v>
      </c>
      <c r="L79" s="49" t="str">
        <f>IF(2.3385*1570.73=0," ",TEXT(,ROUND((2.3385*1570.73*5.26),2)))</f>
        <v>19320.78</v>
      </c>
      <c r="M79" s="49" t="s">
        <v>270</v>
      </c>
      <c r="N79" s="49" t="s">
        <v>271</v>
      </c>
      <c r="O79" s="52"/>
      <c r="P79" s="52"/>
      <c r="Q79" s="52"/>
      <c r="R79" s="52"/>
      <c r="S79" s="52"/>
      <c r="T79" s="53"/>
      <c r="U79" s="53"/>
      <c r="V79" s="53"/>
      <c r="W79" s="53"/>
      <c r="X79" s="53"/>
      <c r="Y79" s="53"/>
      <c r="Z79" s="53"/>
      <c r="AA79" s="53" t="s">
        <v>43</v>
      </c>
      <c r="AB79" s="53" t="s">
        <v>44</v>
      </c>
      <c r="AC79" s="53">
        <v>4871</v>
      </c>
      <c r="AD79" s="53">
        <v>3568</v>
      </c>
      <c r="AE79" s="53"/>
      <c r="AF79" s="53" t="s">
        <v>272</v>
      </c>
      <c r="AG79" s="53" t="s">
        <v>261</v>
      </c>
      <c r="AH79" s="53"/>
      <c r="AI79" s="53">
        <f>6692+169</f>
        <v>6861</v>
      </c>
    </row>
    <row r="80" spans="1:35" ht="63.75" x14ac:dyDescent="0.2">
      <c r="A80" s="46">
        <v>45</v>
      </c>
      <c r="B80" s="47" t="s">
        <v>205</v>
      </c>
      <c r="C80" s="48" t="str">
        <f t="shared" ca="1" si="2"/>
        <v xml:space="preserve">Доски необрезные хвойных пород длиной: 4-6,5 м, все ширины, толщиной 32-40 мм, III сорта
м3
</v>
      </c>
      <c r="D80" s="46">
        <v>-4.2089999999999996</v>
      </c>
      <c r="E80" s="49">
        <v>832.7</v>
      </c>
      <c r="F80" s="49"/>
      <c r="G80" s="49">
        <v>832.7</v>
      </c>
      <c r="H80" s="50" t="s">
        <v>206</v>
      </c>
      <c r="I80" s="51">
        <v>-18801</v>
      </c>
      <c r="J80" s="49"/>
      <c r="K80" s="49"/>
      <c r="L80" s="49" t="str">
        <f>IF(-4.209*832.7=0," ",TEXT(,ROUND((-4.209*832.7*5.364),2)))</f>
        <v>-18799.93</v>
      </c>
      <c r="M80" s="49"/>
      <c r="N80" s="49"/>
      <c r="O80" s="52"/>
      <c r="P80" s="52"/>
      <c r="Q80" s="52"/>
      <c r="R80" s="52"/>
      <c r="S80" s="52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 t="s">
        <v>207</v>
      </c>
      <c r="AG80" s="53" t="s">
        <v>173</v>
      </c>
      <c r="AH80" s="53"/>
      <c r="AI80" s="53">
        <f>0+0</f>
        <v>0</v>
      </c>
    </row>
    <row r="81" spans="1:35" ht="76.5" x14ac:dyDescent="0.2">
      <c r="A81" s="46">
        <v>46</v>
      </c>
      <c r="B81" s="47" t="s">
        <v>208</v>
      </c>
      <c r="C81" s="48" t="str">
        <f t="shared" ca="1" si="2"/>
        <v xml:space="preserve">Доски обрезные хвойных пород длиной: 4-6,5 м, шириной 75-150 мм, толщиной 44 мм и более, II сорта
м3
</v>
      </c>
      <c r="D81" s="46">
        <v>5.2610000000000001</v>
      </c>
      <c r="E81" s="49">
        <v>1320</v>
      </c>
      <c r="F81" s="49"/>
      <c r="G81" s="49">
        <v>1320</v>
      </c>
      <c r="H81" s="50" t="s">
        <v>209</v>
      </c>
      <c r="I81" s="51">
        <v>28884</v>
      </c>
      <c r="J81" s="49"/>
      <c r="K81" s="49"/>
      <c r="L81" s="49" t="str">
        <f>IF(5.261*1320=0," ",TEXT(,ROUND((5.261*1320*4.159),2)))</f>
        <v>28882.26</v>
      </c>
      <c r="M81" s="49"/>
      <c r="N81" s="49"/>
      <c r="O81" s="52"/>
      <c r="P81" s="52"/>
      <c r="Q81" s="52"/>
      <c r="R81" s="52"/>
      <c r="S81" s="52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 t="s">
        <v>210</v>
      </c>
      <c r="AG81" s="53" t="s">
        <v>173</v>
      </c>
      <c r="AH81" s="53"/>
      <c r="AI81" s="53">
        <f>0+0</f>
        <v>0</v>
      </c>
    </row>
    <row r="82" spans="1:35" ht="114.75" x14ac:dyDescent="0.2">
      <c r="A82" s="46">
        <v>47</v>
      </c>
      <c r="B82" s="47" t="s">
        <v>273</v>
      </c>
      <c r="C82" s="48" t="str">
        <f t="shared" ca="1" si="2"/>
        <v xml:space="preserve">Устройство: карнизов
100 м2 стен, фронтонов (за вычетом проемов) и развернутых поверхностей карнизов
19834 руб. НР 90%=118%*(0,85*0,9) от ФОТ (22038 руб.)
9476 руб.СП 43%=63%*(0,8*0,85) от ФОТ (22038 руб.)
</v>
      </c>
      <c r="D82" s="46">
        <v>0.93</v>
      </c>
      <c r="E82" s="49" t="s">
        <v>274</v>
      </c>
      <c r="F82" s="49">
        <v>79.81</v>
      </c>
      <c r="G82" s="49">
        <v>4013.93</v>
      </c>
      <c r="H82" s="50" t="s">
        <v>275</v>
      </c>
      <c r="I82" s="51">
        <v>47434</v>
      </c>
      <c r="J82" s="49">
        <v>22038</v>
      </c>
      <c r="K82" s="49">
        <v>1094</v>
      </c>
      <c r="L82" s="49" t="str">
        <f>IF(0.93*4013.93=0," ",TEXT(,ROUND((0.93*4013.93*6.51),2)))</f>
        <v>24301.54</v>
      </c>
      <c r="M82" s="49">
        <v>143</v>
      </c>
      <c r="N82" s="49">
        <v>132.99</v>
      </c>
      <c r="O82" s="52"/>
      <c r="P82" s="52"/>
      <c r="Q82" s="52"/>
      <c r="R82" s="52"/>
      <c r="S82" s="52"/>
      <c r="T82" s="53"/>
      <c r="U82" s="53"/>
      <c r="V82" s="53"/>
      <c r="W82" s="53"/>
      <c r="X82" s="53"/>
      <c r="Y82" s="53"/>
      <c r="Z82" s="53"/>
      <c r="AA82" s="53" t="s">
        <v>201</v>
      </c>
      <c r="AB82" s="53" t="s">
        <v>202</v>
      </c>
      <c r="AC82" s="53">
        <v>19834</v>
      </c>
      <c r="AD82" s="53">
        <v>9476</v>
      </c>
      <c r="AE82" s="53"/>
      <c r="AF82" s="53" t="s">
        <v>276</v>
      </c>
      <c r="AG82" s="53" t="s">
        <v>277</v>
      </c>
      <c r="AH82" s="53"/>
      <c r="AI82" s="53">
        <f>22038+0</f>
        <v>22038</v>
      </c>
    </row>
    <row r="83" spans="1:35" ht="89.25" x14ac:dyDescent="0.2">
      <c r="A83" s="46">
        <v>48</v>
      </c>
      <c r="B83" s="47" t="s">
        <v>132</v>
      </c>
      <c r="C83" s="48" t="str">
        <f t="shared" ca="1" si="2"/>
        <v xml:space="preserve">Устройство покрытия из рулонных материалов: насухо без промазки кромок
100 м2 кровли
2556 руб. НР 71%=83%*0,85 от ФОТ (3600 руб.)
1872 руб.СП 52%=65%*0,8 от ФОТ (3600 руб.)
</v>
      </c>
      <c r="D83" s="46">
        <v>5.87</v>
      </c>
      <c r="E83" s="49" t="s">
        <v>133</v>
      </c>
      <c r="F83" s="49">
        <v>5.23</v>
      </c>
      <c r="G83" s="49">
        <v>883.33</v>
      </c>
      <c r="H83" s="50" t="s">
        <v>134</v>
      </c>
      <c r="I83" s="51">
        <v>29943</v>
      </c>
      <c r="J83" s="49">
        <v>3600</v>
      </c>
      <c r="K83" s="49">
        <v>366</v>
      </c>
      <c r="L83" s="49" t="str">
        <f>IF(5.87*883.33=0," ",TEXT(,ROUND((5.87*883.33*5.01),2)))</f>
        <v>25977.59</v>
      </c>
      <c r="M83" s="49">
        <v>4.5199999999999996</v>
      </c>
      <c r="N83" s="49">
        <v>26.53</v>
      </c>
      <c r="O83" s="52"/>
      <c r="P83" s="52"/>
      <c r="Q83" s="52"/>
      <c r="R83" s="52"/>
      <c r="S83" s="52"/>
      <c r="T83" s="53"/>
      <c r="U83" s="53"/>
      <c r="V83" s="53"/>
      <c r="W83" s="53"/>
      <c r="X83" s="53"/>
      <c r="Y83" s="53"/>
      <c r="Z83" s="53"/>
      <c r="AA83" s="53" t="s">
        <v>43</v>
      </c>
      <c r="AB83" s="53" t="s">
        <v>44</v>
      </c>
      <c r="AC83" s="53">
        <v>2556</v>
      </c>
      <c r="AD83" s="53">
        <v>1872</v>
      </c>
      <c r="AE83" s="53"/>
      <c r="AF83" s="53" t="s">
        <v>135</v>
      </c>
      <c r="AG83" s="53" t="s">
        <v>60</v>
      </c>
      <c r="AH83" s="53"/>
      <c r="AI83" s="53">
        <f>3600+0</f>
        <v>3600</v>
      </c>
    </row>
    <row r="84" spans="1:35" ht="63.75" x14ac:dyDescent="0.2">
      <c r="A84" s="46">
        <v>49</v>
      </c>
      <c r="B84" s="47" t="s">
        <v>136</v>
      </c>
      <c r="C84" s="48" t="str">
        <f t="shared" ca="1" si="2"/>
        <v xml:space="preserve">Рубероид кровельный с крупнозернистой посыпкой марки: РКК-350б
м2
</v>
      </c>
      <c r="D84" s="46">
        <v>-675.1</v>
      </c>
      <c r="E84" s="49">
        <v>7.46</v>
      </c>
      <c r="F84" s="49"/>
      <c r="G84" s="49">
        <v>7.46</v>
      </c>
      <c r="H84" s="50" t="s">
        <v>137</v>
      </c>
      <c r="I84" s="51">
        <v>-25200</v>
      </c>
      <c r="J84" s="49"/>
      <c r="K84" s="49"/>
      <c r="L84" s="49" t="str">
        <f>IF(-675.1*7.46=0," ",TEXT(,ROUND((-675.1*7.46*5.004),2)))</f>
        <v>-25201.37</v>
      </c>
      <c r="M84" s="49"/>
      <c r="N84" s="49"/>
      <c r="O84" s="52"/>
      <c r="P84" s="52"/>
      <c r="Q84" s="52"/>
      <c r="R84" s="52"/>
      <c r="S84" s="52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 t="s">
        <v>138</v>
      </c>
      <c r="AG84" s="53" t="s">
        <v>139</v>
      </c>
      <c r="AH84" s="53"/>
      <c r="AI84" s="53">
        <f>0+0</f>
        <v>0</v>
      </c>
    </row>
    <row r="85" spans="1:35" ht="63.75" x14ac:dyDescent="0.2">
      <c r="A85" s="46">
        <v>50</v>
      </c>
      <c r="B85" s="47" t="s">
        <v>278</v>
      </c>
      <c r="C85" s="48" t="str">
        <f t="shared" ca="1" si="2"/>
        <v xml:space="preserve">Изоспан: Защитный материал марки D 19,49/5,56=3,51
м2
</v>
      </c>
      <c r="D85" s="46">
        <v>675.1</v>
      </c>
      <c r="E85" s="49">
        <v>3.51</v>
      </c>
      <c r="F85" s="49"/>
      <c r="G85" s="49">
        <v>3.51</v>
      </c>
      <c r="H85" s="50" t="s">
        <v>141</v>
      </c>
      <c r="I85" s="51">
        <v>13177</v>
      </c>
      <c r="J85" s="49"/>
      <c r="K85" s="49"/>
      <c r="L85" s="49" t="str">
        <f>IF(675.1*3.51=0," ",TEXT(,ROUND((675.1*3.51*5.56),2)))</f>
        <v>13174.98</v>
      </c>
      <c r="M85" s="49"/>
      <c r="N85" s="49"/>
      <c r="O85" s="52"/>
      <c r="P85" s="52"/>
      <c r="Q85" s="52"/>
      <c r="R85" s="52"/>
      <c r="S85" s="52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 t="s">
        <v>279</v>
      </c>
      <c r="AG85" s="53" t="s">
        <v>139</v>
      </c>
      <c r="AH85" s="53"/>
      <c r="AI85" s="53">
        <f>0+0</f>
        <v>0</v>
      </c>
    </row>
    <row r="86" spans="1:35" ht="102" x14ac:dyDescent="0.2">
      <c r="A86" s="46">
        <v>51</v>
      </c>
      <c r="B86" s="47" t="s">
        <v>280</v>
      </c>
      <c r="C86" s="48" t="str">
        <f t="shared" ca="1" si="2"/>
        <v xml:space="preserve">Устройство слуховых окон
1 слуховое окно
2039 руб. НР 90%=118%*(0,85*0,9) от ФОТ (2265 руб.)
974 руб.СП 43%=63%*(0,8*0,85) от ФОТ (2265 руб.)
</v>
      </c>
      <c r="D86" s="46">
        <v>2</v>
      </c>
      <c r="E86" s="49" t="s">
        <v>281</v>
      </c>
      <c r="F86" s="49" t="s">
        <v>282</v>
      </c>
      <c r="G86" s="49">
        <v>300.2</v>
      </c>
      <c r="H86" s="50" t="s">
        <v>283</v>
      </c>
      <c r="I86" s="51">
        <v>6076</v>
      </c>
      <c r="J86" s="49">
        <v>2197</v>
      </c>
      <c r="K86" s="49" t="s">
        <v>284</v>
      </c>
      <c r="L86" s="49" t="str">
        <f>IF(2*300.2=0," ",TEXT(,ROUND((2*300.2*5.43),2)))</f>
        <v>3260.17</v>
      </c>
      <c r="M86" s="49" t="s">
        <v>285</v>
      </c>
      <c r="N86" s="49" t="s">
        <v>286</v>
      </c>
      <c r="O86" s="52"/>
      <c r="P86" s="52"/>
      <c r="Q86" s="52"/>
      <c r="R86" s="52"/>
      <c r="S86" s="52"/>
      <c r="T86" s="53"/>
      <c r="U86" s="53"/>
      <c r="V86" s="53"/>
      <c r="W86" s="53"/>
      <c r="X86" s="53"/>
      <c r="Y86" s="53"/>
      <c r="Z86" s="53"/>
      <c r="AA86" s="53" t="s">
        <v>201</v>
      </c>
      <c r="AB86" s="53" t="s">
        <v>202</v>
      </c>
      <c r="AC86" s="53">
        <v>2039</v>
      </c>
      <c r="AD86" s="53">
        <v>974</v>
      </c>
      <c r="AE86" s="53"/>
      <c r="AF86" s="53" t="s">
        <v>287</v>
      </c>
      <c r="AG86" s="53" t="s">
        <v>288</v>
      </c>
      <c r="AH86" s="53"/>
      <c r="AI86" s="53">
        <f>2197+68</f>
        <v>2265</v>
      </c>
    </row>
    <row r="87" spans="1:35" ht="51" x14ac:dyDescent="0.2">
      <c r="A87" s="46">
        <v>52</v>
      </c>
      <c r="B87" s="47" t="s">
        <v>289</v>
      </c>
      <c r="C87" s="48" t="str">
        <f t="shared" ca="1" si="2"/>
        <v xml:space="preserve">Петли форточные накладные размером 70х55 мм
компл.
</v>
      </c>
      <c r="D87" s="46">
        <v>2</v>
      </c>
      <c r="E87" s="49">
        <v>3.74</v>
      </c>
      <c r="F87" s="49"/>
      <c r="G87" s="49">
        <v>3.74</v>
      </c>
      <c r="H87" s="50" t="s">
        <v>290</v>
      </c>
      <c r="I87" s="51">
        <v>16</v>
      </c>
      <c r="J87" s="49"/>
      <c r="K87" s="49"/>
      <c r="L87" s="49" t="str">
        <f>IF(2*3.74=0," ",TEXT(,ROUND((2*3.74*2.338),2)))</f>
        <v>17.49</v>
      </c>
      <c r="M87" s="49"/>
      <c r="N87" s="49"/>
      <c r="O87" s="52"/>
      <c r="P87" s="52"/>
      <c r="Q87" s="52"/>
      <c r="R87" s="52"/>
      <c r="S87" s="52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 t="s">
        <v>291</v>
      </c>
      <c r="AG87" s="53" t="s">
        <v>292</v>
      </c>
      <c r="AH87" s="53"/>
      <c r="AI87" s="53">
        <f>0+0</f>
        <v>0</v>
      </c>
    </row>
    <row r="88" spans="1:35" ht="63.75" x14ac:dyDescent="0.2">
      <c r="A88" s="46">
        <v>53</v>
      </c>
      <c r="B88" s="47" t="s">
        <v>293</v>
      </c>
      <c r="C88" s="48" t="str">
        <f t="shared" ca="1" si="2"/>
        <v xml:space="preserve">Шпингалеты дверные размером 230х26 мм, оцинкованные или окрашенные
компл.
</v>
      </c>
      <c r="D88" s="46">
        <v>2</v>
      </c>
      <c r="E88" s="49">
        <v>13.42</v>
      </c>
      <c r="F88" s="49"/>
      <c r="G88" s="49">
        <v>13.42</v>
      </c>
      <c r="H88" s="50" t="s">
        <v>294</v>
      </c>
      <c r="I88" s="51">
        <v>54</v>
      </c>
      <c r="J88" s="49"/>
      <c r="K88" s="49"/>
      <c r="L88" s="49" t="str">
        <f>IF(2*13.42=0," ",TEXT(,ROUND((2*13.42*1.986),2)))</f>
        <v>53.3</v>
      </c>
      <c r="M88" s="49"/>
      <c r="N88" s="49"/>
      <c r="O88" s="52"/>
      <c r="P88" s="52"/>
      <c r="Q88" s="52"/>
      <c r="R88" s="52"/>
      <c r="S88" s="52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 t="s">
        <v>295</v>
      </c>
      <c r="AG88" s="53" t="s">
        <v>292</v>
      </c>
      <c r="AH88" s="53"/>
      <c r="AI88" s="53">
        <f>0+0</f>
        <v>0</v>
      </c>
    </row>
    <row r="89" spans="1:35" ht="127.5" x14ac:dyDescent="0.2">
      <c r="A89" s="46">
        <v>54</v>
      </c>
      <c r="B89" s="47" t="s">
        <v>296</v>
      </c>
      <c r="C89" s="48" t="str">
        <f t="shared" ca="1" si="2"/>
        <v xml:space="preserve">Антисептическая обработка деревянных конструкций составом "Пирилакс" при помощи аппарата аэрозольно-капельного распыления
100 м2 обрабатываемой поверхности
18952 руб. НР 90%=118%*(0,85*0,9) от ФОТ (21058 руб.)
9055 руб.СП 43%=63%*(0,8*0,85) от ФОТ (21058 руб.)
</v>
      </c>
      <c r="D89" s="46">
        <v>22.36</v>
      </c>
      <c r="E89" s="49" t="s">
        <v>297</v>
      </c>
      <c r="F89" s="49" t="s">
        <v>298</v>
      </c>
      <c r="G89" s="49">
        <v>176.17</v>
      </c>
      <c r="H89" s="50" t="s">
        <v>299</v>
      </c>
      <c r="I89" s="51">
        <v>75994</v>
      </c>
      <c r="J89" s="49">
        <v>20838</v>
      </c>
      <c r="K89" s="49" t="s">
        <v>300</v>
      </c>
      <c r="L89" s="49" t="str">
        <f>IF(22.36*176.17=0," ",TEXT(,ROUND((22.36*176.17*10.79),2)))</f>
        <v>42503.55</v>
      </c>
      <c r="M89" s="49" t="s">
        <v>301</v>
      </c>
      <c r="N89" s="49" t="s">
        <v>302</v>
      </c>
      <c r="O89" s="52"/>
      <c r="P89" s="52"/>
      <c r="Q89" s="52"/>
      <c r="R89" s="52"/>
      <c r="S89" s="52"/>
      <c r="T89" s="53"/>
      <c r="U89" s="53"/>
      <c r="V89" s="53"/>
      <c r="W89" s="53"/>
      <c r="X89" s="53"/>
      <c r="Y89" s="53"/>
      <c r="Z89" s="53"/>
      <c r="AA89" s="53" t="s">
        <v>201</v>
      </c>
      <c r="AB89" s="53" t="s">
        <v>202</v>
      </c>
      <c r="AC89" s="53">
        <v>18952</v>
      </c>
      <c r="AD89" s="53">
        <v>9055</v>
      </c>
      <c r="AE89" s="53"/>
      <c r="AF89" s="53" t="s">
        <v>303</v>
      </c>
      <c r="AG89" s="53" t="s">
        <v>304</v>
      </c>
      <c r="AH89" s="53"/>
      <c r="AI89" s="53">
        <f>20838+220</f>
        <v>21058</v>
      </c>
    </row>
    <row r="90" spans="1:35" ht="114.75" x14ac:dyDescent="0.2">
      <c r="A90" s="46">
        <v>55</v>
      </c>
      <c r="B90" s="47" t="s">
        <v>305</v>
      </c>
      <c r="C90" s="48" t="str">
        <f t="shared" ca="1" si="2"/>
        <v xml:space="preserve">Устройство кровли из металлочерепицы по готовым прогонам: средней сложности
100 м2 кровли
42959 руб. НР 92%=120%*(0,85*0,9) от ФОТ (46695 руб.)
20546 руб.СП 44%=65%*(0,8*0,85) от ФОТ (46695 руб.)
</v>
      </c>
      <c r="D90" s="46" t="s">
        <v>306</v>
      </c>
      <c r="E90" s="49" t="s">
        <v>307</v>
      </c>
      <c r="F90" s="49" t="s">
        <v>308</v>
      </c>
      <c r="G90" s="49">
        <v>9946</v>
      </c>
      <c r="H90" s="50" t="s">
        <v>309</v>
      </c>
      <c r="I90" s="51">
        <v>281821</v>
      </c>
      <c r="J90" s="49">
        <v>45208</v>
      </c>
      <c r="K90" s="49" t="s">
        <v>310</v>
      </c>
      <c r="L90" s="49" t="str">
        <f>IF(6.529*9946=0," ",TEXT(,ROUND((6.529*9946*3.48),2)))</f>
        <v>225982.27</v>
      </c>
      <c r="M90" s="49" t="s">
        <v>311</v>
      </c>
      <c r="N90" s="49" t="s">
        <v>312</v>
      </c>
      <c r="O90" s="52"/>
      <c r="P90" s="52"/>
      <c r="Q90" s="52"/>
      <c r="R90" s="52"/>
      <c r="S90" s="52"/>
      <c r="T90" s="53"/>
      <c r="U90" s="53"/>
      <c r="V90" s="53"/>
      <c r="W90" s="53"/>
      <c r="X90" s="53"/>
      <c r="Y90" s="53"/>
      <c r="Z90" s="53"/>
      <c r="AA90" s="53" t="s">
        <v>150</v>
      </c>
      <c r="AB90" s="53" t="s">
        <v>151</v>
      </c>
      <c r="AC90" s="53">
        <v>42959</v>
      </c>
      <c r="AD90" s="53">
        <v>20546</v>
      </c>
      <c r="AE90" s="53"/>
      <c r="AF90" s="53" t="s">
        <v>313</v>
      </c>
      <c r="AG90" s="53" t="s">
        <v>60</v>
      </c>
      <c r="AH90" s="53"/>
      <c r="AI90" s="53">
        <f>45208+1487</f>
        <v>46695</v>
      </c>
    </row>
    <row r="91" spans="1:35" ht="51" x14ac:dyDescent="0.2">
      <c r="A91" s="46">
        <v>56</v>
      </c>
      <c r="B91" s="47" t="s">
        <v>314</v>
      </c>
      <c r="C91" s="48" t="str">
        <f t="shared" ca="1" si="2"/>
        <v xml:space="preserve">Металлочерепица «Монтеррей»
м2
</v>
      </c>
      <c r="D91" s="46">
        <v>-835.7</v>
      </c>
      <c r="E91" s="49">
        <v>70.5</v>
      </c>
      <c r="F91" s="49"/>
      <c r="G91" s="49">
        <v>70.5</v>
      </c>
      <c r="H91" s="50" t="s">
        <v>315</v>
      </c>
      <c r="I91" s="51">
        <v>-216579</v>
      </c>
      <c r="J91" s="49"/>
      <c r="K91" s="49"/>
      <c r="L91" s="49" t="str">
        <f>IF(-835.7*70.5=0," ",TEXT(,ROUND((-835.7*70.5*3.676),2)))</f>
        <v>-216578.34</v>
      </c>
      <c r="M91" s="49"/>
      <c r="N91" s="49"/>
      <c r="O91" s="52"/>
      <c r="P91" s="52"/>
      <c r="Q91" s="52"/>
      <c r="R91" s="52"/>
      <c r="S91" s="52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 t="s">
        <v>316</v>
      </c>
      <c r="AG91" s="53" t="s">
        <v>139</v>
      </c>
      <c r="AH91" s="53"/>
      <c r="AI91" s="53">
        <f>0+0</f>
        <v>0</v>
      </c>
    </row>
    <row r="92" spans="1:35" ht="63.75" x14ac:dyDescent="0.2">
      <c r="A92" s="46">
        <v>57</v>
      </c>
      <c r="B92" s="47" t="s">
        <v>317</v>
      </c>
      <c r="C92" s="48" t="str">
        <f t="shared" ca="1" si="2"/>
        <v xml:space="preserve">Профилированный лист оцинкованный: НС44-1000-0,7
т
</v>
      </c>
      <c r="D92" s="46" t="s">
        <v>318</v>
      </c>
      <c r="E92" s="49">
        <v>10090.379999999999</v>
      </c>
      <c r="F92" s="49"/>
      <c r="G92" s="49">
        <v>10090.379999999999</v>
      </c>
      <c r="H92" s="50" t="s">
        <v>319</v>
      </c>
      <c r="I92" s="51">
        <v>245185</v>
      </c>
      <c r="J92" s="49"/>
      <c r="K92" s="49"/>
      <c r="L92" s="49" t="str">
        <f>IF(5.35931*10090.38=0," ",TEXT(,ROUND((5.35931*10090.38*4.534),2)))</f>
        <v>245187.27</v>
      </c>
      <c r="M92" s="49"/>
      <c r="N92" s="49"/>
      <c r="O92" s="52"/>
      <c r="P92" s="52"/>
      <c r="Q92" s="52"/>
      <c r="R92" s="52"/>
      <c r="S92" s="52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 t="s">
        <v>320</v>
      </c>
      <c r="AG92" s="53" t="s">
        <v>163</v>
      </c>
      <c r="AH92" s="53"/>
      <c r="AI92" s="53">
        <f>0+0</f>
        <v>0</v>
      </c>
    </row>
    <row r="93" spans="1:35" ht="63.75" x14ac:dyDescent="0.2">
      <c r="A93" s="46">
        <v>58</v>
      </c>
      <c r="B93" s="47" t="s">
        <v>321</v>
      </c>
      <c r="C93" s="48" t="str">
        <f t="shared" ca="1" si="2"/>
        <v xml:space="preserve">Сталь листовая оцинкованная толщиной листа: 0,5 мм конек+ ендовы
м2
</v>
      </c>
      <c r="D93" s="46" t="s">
        <v>322</v>
      </c>
      <c r="E93" s="49">
        <v>45.82</v>
      </c>
      <c r="F93" s="49"/>
      <c r="G93" s="49">
        <v>45.82</v>
      </c>
      <c r="H93" s="50" t="s">
        <v>323</v>
      </c>
      <c r="I93" s="51">
        <v>16813</v>
      </c>
      <c r="J93" s="49"/>
      <c r="K93" s="49"/>
      <c r="L93" s="49" t="str">
        <f>IF(66.4*45.82=0," ",TEXT(,ROUND((66.4*45.82*5.527),2)))</f>
        <v>16815.61</v>
      </c>
      <c r="M93" s="49"/>
      <c r="N93" s="49"/>
      <c r="O93" s="52"/>
      <c r="P93" s="52"/>
      <c r="Q93" s="52"/>
      <c r="R93" s="52"/>
      <c r="S93" s="52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 t="s">
        <v>324</v>
      </c>
      <c r="AG93" s="53" t="s">
        <v>139</v>
      </c>
      <c r="AH93" s="53"/>
      <c r="AI93" s="53">
        <f>0+0</f>
        <v>0</v>
      </c>
    </row>
    <row r="94" spans="1:35" ht="63.75" x14ac:dyDescent="0.2">
      <c r="A94" s="46">
        <v>59</v>
      </c>
      <c r="B94" s="47" t="s">
        <v>325</v>
      </c>
      <c r="C94" s="48" t="str">
        <f t="shared" ca="1" si="2"/>
        <v xml:space="preserve">Сталь листовая оцинкованная толщиной листа: 0,55 мм
т
</v>
      </c>
      <c r="D94" s="46">
        <v>0.3</v>
      </c>
      <c r="E94" s="49">
        <v>10484</v>
      </c>
      <c r="F94" s="49"/>
      <c r="G94" s="49">
        <v>10484</v>
      </c>
      <c r="H94" s="50" t="s">
        <v>326</v>
      </c>
      <c r="I94" s="51">
        <v>12558</v>
      </c>
      <c r="J94" s="49"/>
      <c r="K94" s="49"/>
      <c r="L94" s="49" t="str">
        <f>IF(0.3*10484=0," ",TEXT(,ROUND((0.3*10484*3.993),2)))</f>
        <v>12558.78</v>
      </c>
      <c r="M94" s="49"/>
      <c r="N94" s="49"/>
      <c r="O94" s="52"/>
      <c r="P94" s="52"/>
      <c r="Q94" s="52"/>
      <c r="R94" s="52"/>
      <c r="S94" s="52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 t="s">
        <v>327</v>
      </c>
      <c r="AG94" s="53" t="s">
        <v>163</v>
      </c>
      <c r="AH94" s="53"/>
      <c r="AI94" s="53">
        <f>0+0</f>
        <v>0</v>
      </c>
    </row>
    <row r="95" spans="1:35" ht="102" x14ac:dyDescent="0.2">
      <c r="A95" s="46">
        <v>60</v>
      </c>
      <c r="B95" s="47" t="s">
        <v>328</v>
      </c>
      <c r="C95" s="48" t="str">
        <f t="shared" ca="1" si="2"/>
        <v xml:space="preserve">Резка стального профилированного настила
1 м реза
2612 руб. НР 69%=90%*(0,85*0,9) от ФОТ (3786 руб.)
2196 руб.СП 58%=85%*(0,8*0,85) от ФОТ (3786 руб.)
</v>
      </c>
      <c r="D95" s="46">
        <v>64</v>
      </c>
      <c r="E95" s="49" t="s">
        <v>329</v>
      </c>
      <c r="F95" s="49">
        <v>0.55000000000000004</v>
      </c>
      <c r="G95" s="49"/>
      <c r="H95" s="50" t="s">
        <v>330</v>
      </c>
      <c r="I95" s="51">
        <v>3876</v>
      </c>
      <c r="J95" s="49">
        <v>3786</v>
      </c>
      <c r="K95" s="49">
        <v>90</v>
      </c>
      <c r="L95" s="49" t="str">
        <f>IF(64*0=0," ",TEXT(,ROUND((64*0*1),2)))</f>
        <v xml:space="preserve"> </v>
      </c>
      <c r="M95" s="49">
        <v>0.34</v>
      </c>
      <c r="N95" s="49">
        <v>21.76</v>
      </c>
      <c r="O95" s="52"/>
      <c r="P95" s="52"/>
      <c r="Q95" s="52"/>
      <c r="R95" s="52"/>
      <c r="S95" s="52"/>
      <c r="T95" s="53"/>
      <c r="U95" s="53"/>
      <c r="V95" s="53"/>
      <c r="W95" s="53"/>
      <c r="X95" s="53"/>
      <c r="Y95" s="53"/>
      <c r="Z95" s="53"/>
      <c r="AA95" s="53" t="s">
        <v>225</v>
      </c>
      <c r="AB95" s="53" t="s">
        <v>226</v>
      </c>
      <c r="AC95" s="53">
        <v>2612</v>
      </c>
      <c r="AD95" s="53">
        <v>2196</v>
      </c>
      <c r="AE95" s="53"/>
      <c r="AF95" s="53" t="s">
        <v>331</v>
      </c>
      <c r="AG95" s="53" t="s">
        <v>332</v>
      </c>
      <c r="AH95" s="53"/>
      <c r="AI95" s="53">
        <f>3786+0</f>
        <v>3786</v>
      </c>
    </row>
    <row r="96" spans="1:35" ht="102" x14ac:dyDescent="0.2">
      <c r="A96" s="46">
        <v>61</v>
      </c>
      <c r="B96" s="47" t="s">
        <v>333</v>
      </c>
      <c r="C96" s="48" t="str">
        <f t="shared" ca="1" si="2"/>
        <v xml:space="preserve">Ограждение кровель перилами
100 м ограждения
1245 руб. НР 92%=120%*(0,85*0,9) от ФОТ (1353 руб.)
595 руб.СП 44%=65%*(0,8*0,85) от ФОТ (1353 руб.)
</v>
      </c>
      <c r="D96" s="46">
        <v>1.1080000000000001</v>
      </c>
      <c r="E96" s="49" t="s">
        <v>334</v>
      </c>
      <c r="F96" s="49" t="s">
        <v>335</v>
      </c>
      <c r="G96" s="49">
        <v>3032.91</v>
      </c>
      <c r="H96" s="50" t="s">
        <v>336</v>
      </c>
      <c r="I96" s="51">
        <v>27270</v>
      </c>
      <c r="J96" s="49">
        <v>1268</v>
      </c>
      <c r="K96" s="49" t="s">
        <v>337</v>
      </c>
      <c r="L96" s="49" t="str">
        <f>IF(1.108*3032.91=0," ",TEXT(,ROUND((1.108*3032.91*7.51),2)))</f>
        <v>25237.09</v>
      </c>
      <c r="M96" s="49" t="s">
        <v>338</v>
      </c>
      <c r="N96" s="49" t="s">
        <v>339</v>
      </c>
      <c r="O96" s="52"/>
      <c r="P96" s="52"/>
      <c r="Q96" s="52"/>
      <c r="R96" s="52"/>
      <c r="S96" s="52"/>
      <c r="T96" s="53"/>
      <c r="U96" s="53"/>
      <c r="V96" s="53"/>
      <c r="W96" s="53"/>
      <c r="X96" s="53"/>
      <c r="Y96" s="53"/>
      <c r="Z96" s="53"/>
      <c r="AA96" s="53" t="s">
        <v>150</v>
      </c>
      <c r="AB96" s="53" t="s">
        <v>151</v>
      </c>
      <c r="AC96" s="53">
        <v>1245</v>
      </c>
      <c r="AD96" s="53">
        <v>595</v>
      </c>
      <c r="AE96" s="53"/>
      <c r="AF96" s="53" t="s">
        <v>340</v>
      </c>
      <c r="AG96" s="53" t="s">
        <v>341</v>
      </c>
      <c r="AH96" s="53"/>
      <c r="AI96" s="53">
        <f>1268+85</f>
        <v>1353</v>
      </c>
    </row>
    <row r="97" spans="1:35" ht="102" x14ac:dyDescent="0.2">
      <c r="A97" s="46">
        <v>62</v>
      </c>
      <c r="B97" s="47" t="s">
        <v>342</v>
      </c>
      <c r="C97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97" s="46">
        <v>0.65808</v>
      </c>
      <c r="E97" s="49">
        <v>10045</v>
      </c>
      <c r="F97" s="49"/>
      <c r="G97" s="49">
        <v>10045</v>
      </c>
      <c r="H97" s="50" t="s">
        <v>343</v>
      </c>
      <c r="I97" s="51">
        <v>49800</v>
      </c>
      <c r="J97" s="49"/>
      <c r="K97" s="49"/>
      <c r="L97" s="49" t="str">
        <f>IF(0.65808*10045=0," ",TEXT(,ROUND((0.65808*10045*7.534),2)))</f>
        <v>49802.86</v>
      </c>
      <c r="M97" s="49"/>
      <c r="N97" s="49"/>
      <c r="O97" s="52"/>
      <c r="P97" s="52"/>
      <c r="Q97" s="52"/>
      <c r="R97" s="52"/>
      <c r="S97" s="52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 t="s">
        <v>344</v>
      </c>
      <c r="AG97" s="53" t="s">
        <v>163</v>
      </c>
      <c r="AH97" s="53"/>
      <c r="AI97" s="53">
        <f>0+0</f>
        <v>0</v>
      </c>
    </row>
    <row r="98" spans="1:35" ht="89.25" x14ac:dyDescent="0.2">
      <c r="A98" s="46">
        <v>63</v>
      </c>
      <c r="B98" s="47" t="s">
        <v>333</v>
      </c>
      <c r="C98" s="48" t="str">
        <f t="shared" ca="1" si="2"/>
        <v xml:space="preserve">Снегозадержатели
100 м ограждения
887 руб. НР 92%=120%*(0,85*0,9) от ФОТ (964 руб.)
424 руб.СП 44%=65%*(0,8*0,85) от ФОТ (964 руб.)
</v>
      </c>
      <c r="D98" s="46">
        <v>0.78</v>
      </c>
      <c r="E98" s="49" t="s">
        <v>334</v>
      </c>
      <c r="F98" s="49" t="s">
        <v>335</v>
      </c>
      <c r="G98" s="49">
        <v>3032.91</v>
      </c>
      <c r="H98" s="50" t="s">
        <v>336</v>
      </c>
      <c r="I98" s="51">
        <v>19211</v>
      </c>
      <c r="J98" s="49">
        <v>896</v>
      </c>
      <c r="K98" s="49" t="s">
        <v>345</v>
      </c>
      <c r="L98" s="49" t="str">
        <f>IF(0.78*3032.91=0," ",TEXT(,ROUND((0.78*3032.91*7.51),2)))</f>
        <v>17766.18</v>
      </c>
      <c r="M98" s="49" t="s">
        <v>338</v>
      </c>
      <c r="N98" s="49" t="s">
        <v>346</v>
      </c>
      <c r="O98" s="52"/>
      <c r="P98" s="52"/>
      <c r="Q98" s="52"/>
      <c r="R98" s="52"/>
      <c r="S98" s="52"/>
      <c r="T98" s="53"/>
      <c r="U98" s="53"/>
      <c r="V98" s="53"/>
      <c r="W98" s="53"/>
      <c r="X98" s="53"/>
      <c r="Y98" s="53"/>
      <c r="Z98" s="53"/>
      <c r="AA98" s="53" t="s">
        <v>150</v>
      </c>
      <c r="AB98" s="53" t="s">
        <v>151</v>
      </c>
      <c r="AC98" s="53">
        <v>887</v>
      </c>
      <c r="AD98" s="53">
        <v>424</v>
      </c>
      <c r="AE98" s="53"/>
      <c r="AF98" s="53" t="s">
        <v>347</v>
      </c>
      <c r="AG98" s="53" t="s">
        <v>341</v>
      </c>
      <c r="AH98" s="53"/>
      <c r="AI98" s="53">
        <f>896+68</f>
        <v>964</v>
      </c>
    </row>
    <row r="99" spans="1:35" ht="102" x14ac:dyDescent="0.2">
      <c r="A99" s="46">
        <v>64</v>
      </c>
      <c r="B99" s="47" t="s">
        <v>342</v>
      </c>
      <c r="C99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99" s="46">
        <v>-0.23400000000000001</v>
      </c>
      <c r="E99" s="49">
        <v>10045</v>
      </c>
      <c r="F99" s="49"/>
      <c r="G99" s="49">
        <v>10045</v>
      </c>
      <c r="H99" s="50" t="s">
        <v>343</v>
      </c>
      <c r="I99" s="51">
        <v>-17712</v>
      </c>
      <c r="J99" s="49"/>
      <c r="K99" s="49"/>
      <c r="L99" s="49" t="str">
        <f>IF(-0.234*10045=0," ",TEXT(,ROUND((-0.234*10045*7.534),2)))</f>
        <v>-17708.89</v>
      </c>
      <c r="M99" s="49"/>
      <c r="N99" s="49"/>
      <c r="O99" s="52"/>
      <c r="P99" s="52"/>
      <c r="Q99" s="52"/>
      <c r="R99" s="52"/>
      <c r="S99" s="52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 t="s">
        <v>348</v>
      </c>
      <c r="AG99" s="53" t="s">
        <v>163</v>
      </c>
      <c r="AH99" s="53"/>
      <c r="AI99" s="53">
        <f>0+0</f>
        <v>0</v>
      </c>
    </row>
    <row r="100" spans="1:35" ht="63.75" x14ac:dyDescent="0.2">
      <c r="A100" s="46">
        <v>65</v>
      </c>
      <c r="B100" s="47" t="s">
        <v>349</v>
      </c>
      <c r="C100" s="48" t="str">
        <f t="shared" ca="1" si="2"/>
        <v xml:space="preserve">Снегозадержатель длиной 3000 мм 1800/1,18/3/5,56=91,45
м
</v>
      </c>
      <c r="D100" s="46">
        <v>78</v>
      </c>
      <c r="E100" s="49">
        <v>91.45</v>
      </c>
      <c r="F100" s="49"/>
      <c r="G100" s="49">
        <v>91.45</v>
      </c>
      <c r="H100" s="50" t="s">
        <v>141</v>
      </c>
      <c r="I100" s="51">
        <v>39659</v>
      </c>
      <c r="J100" s="49"/>
      <c r="K100" s="49"/>
      <c r="L100" s="49" t="str">
        <f>IF(78*91.45=0," ",TEXT(,ROUND((78*91.45*5.56),2)))</f>
        <v>39660.04</v>
      </c>
      <c r="M100" s="49"/>
      <c r="N100" s="49"/>
      <c r="O100" s="52"/>
      <c r="P100" s="52"/>
      <c r="Q100" s="52"/>
      <c r="R100" s="52"/>
      <c r="S100" s="52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 t="s">
        <v>350</v>
      </c>
      <c r="AG100" s="53" t="s">
        <v>351</v>
      </c>
      <c r="AH100" s="53"/>
      <c r="AI100" s="53">
        <f>0+0</f>
        <v>0</v>
      </c>
    </row>
    <row r="101" spans="1:35" ht="89.25" x14ac:dyDescent="0.2">
      <c r="A101" s="46">
        <v>66</v>
      </c>
      <c r="B101" s="47" t="s">
        <v>333</v>
      </c>
      <c r="C101" s="48" t="str">
        <f t="shared" ca="1" si="2"/>
        <v xml:space="preserve">Страховочный трос
100 м ограждения
264 руб. НР 92%=120%*(0,85*0,9) от ФОТ (287 руб.)
126 руб.СП 44%=65%*(0,8*0,85) от ФОТ (287 руб.)
</v>
      </c>
      <c r="D101" s="46">
        <v>0.23</v>
      </c>
      <c r="E101" s="49" t="s">
        <v>334</v>
      </c>
      <c r="F101" s="49" t="s">
        <v>335</v>
      </c>
      <c r="G101" s="49">
        <v>3032.91</v>
      </c>
      <c r="H101" s="50" t="s">
        <v>336</v>
      </c>
      <c r="I101" s="51">
        <v>5673</v>
      </c>
      <c r="J101" s="49">
        <v>270</v>
      </c>
      <c r="K101" s="49" t="s">
        <v>352</v>
      </c>
      <c r="L101" s="49" t="str">
        <f>IF(0.23*3032.91=0," ",TEXT(,ROUND((0.23*3032.91*7.51),2)))</f>
        <v>5238.75</v>
      </c>
      <c r="M101" s="49" t="s">
        <v>338</v>
      </c>
      <c r="N101" s="49" t="s">
        <v>353</v>
      </c>
      <c r="O101" s="52"/>
      <c r="P101" s="52"/>
      <c r="Q101" s="52"/>
      <c r="R101" s="52"/>
      <c r="S101" s="52"/>
      <c r="T101" s="53"/>
      <c r="U101" s="53"/>
      <c r="V101" s="53"/>
      <c r="W101" s="53"/>
      <c r="X101" s="53"/>
      <c r="Y101" s="53"/>
      <c r="Z101" s="53"/>
      <c r="AA101" s="53" t="s">
        <v>150</v>
      </c>
      <c r="AB101" s="53" t="s">
        <v>151</v>
      </c>
      <c r="AC101" s="53">
        <v>264</v>
      </c>
      <c r="AD101" s="53">
        <v>126</v>
      </c>
      <c r="AE101" s="53"/>
      <c r="AF101" s="53" t="s">
        <v>354</v>
      </c>
      <c r="AG101" s="53" t="s">
        <v>341</v>
      </c>
      <c r="AH101" s="53"/>
      <c r="AI101" s="53">
        <f>270+17</f>
        <v>287</v>
      </c>
    </row>
    <row r="102" spans="1:35" ht="102" x14ac:dyDescent="0.2">
      <c r="A102" s="46">
        <v>67</v>
      </c>
      <c r="B102" s="47" t="s">
        <v>342</v>
      </c>
      <c r="C102" s="48" t="str">
        <f t="shared" ca="1" si="2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02" s="46">
        <v>-6.9000000000000006E-2</v>
      </c>
      <c r="E102" s="49">
        <v>10045</v>
      </c>
      <c r="F102" s="49"/>
      <c r="G102" s="49">
        <v>10045</v>
      </c>
      <c r="H102" s="50" t="s">
        <v>343</v>
      </c>
      <c r="I102" s="51">
        <v>-5221</v>
      </c>
      <c r="J102" s="49"/>
      <c r="K102" s="49"/>
      <c r="L102" s="49" t="str">
        <f>IF(-0.069*10045=0," ",TEXT(,ROUND((-0.069*10045*7.534),2)))</f>
        <v>-5221.85</v>
      </c>
      <c r="M102" s="49"/>
      <c r="N102" s="49"/>
      <c r="O102" s="52"/>
      <c r="P102" s="52"/>
      <c r="Q102" s="52"/>
      <c r="R102" s="52"/>
      <c r="S102" s="52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 t="s">
        <v>355</v>
      </c>
      <c r="AG102" s="53" t="s">
        <v>163</v>
      </c>
      <c r="AH102" s="53"/>
      <c r="AI102" s="53">
        <f>0+0</f>
        <v>0</v>
      </c>
    </row>
    <row r="103" spans="1:35" ht="51" x14ac:dyDescent="0.2">
      <c r="A103" s="46">
        <v>68</v>
      </c>
      <c r="B103" s="47" t="s">
        <v>356</v>
      </c>
      <c r="C103" s="48" t="str">
        <f t="shared" ca="1" si="2"/>
        <v xml:space="preserve">Трос стальной
м
</v>
      </c>
      <c r="D103" s="46">
        <v>23</v>
      </c>
      <c r="E103" s="49">
        <v>12.03</v>
      </c>
      <c r="F103" s="49"/>
      <c r="G103" s="49">
        <v>12.03</v>
      </c>
      <c r="H103" s="50" t="s">
        <v>357</v>
      </c>
      <c r="I103" s="51">
        <v>1917</v>
      </c>
      <c r="J103" s="49"/>
      <c r="K103" s="49"/>
      <c r="L103" s="49" t="str">
        <f>IF(23*12.03=0," ",TEXT(,ROUND((23*12.03*6.919),2)))</f>
        <v>1914.42</v>
      </c>
      <c r="M103" s="49"/>
      <c r="N103" s="49"/>
      <c r="O103" s="52"/>
      <c r="P103" s="52"/>
      <c r="Q103" s="52"/>
      <c r="R103" s="52"/>
      <c r="S103" s="52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 t="s">
        <v>358</v>
      </c>
      <c r="AG103" s="53" t="s">
        <v>351</v>
      </c>
      <c r="AH103" s="53"/>
      <c r="AI103" s="53">
        <f>0+0</f>
        <v>0</v>
      </c>
    </row>
    <row r="104" spans="1:35" ht="63.75" x14ac:dyDescent="0.2">
      <c r="A104" s="46">
        <v>69</v>
      </c>
      <c r="B104" s="47" t="s">
        <v>359</v>
      </c>
      <c r="C104" s="48" t="str">
        <f t="shared" ca="1" si="2"/>
        <v xml:space="preserve">Прочие индивидуальные сварные конструкции, масса сборочной единицы до 0,1 т
т
</v>
      </c>
      <c r="D104" s="46" t="s">
        <v>360</v>
      </c>
      <c r="E104" s="49">
        <v>10508</v>
      </c>
      <c r="F104" s="49"/>
      <c r="G104" s="49">
        <v>10508</v>
      </c>
      <c r="H104" s="50" t="s">
        <v>361</v>
      </c>
      <c r="I104" s="51">
        <v>124</v>
      </c>
      <c r="J104" s="49"/>
      <c r="K104" s="49"/>
      <c r="L104" s="49" t="str">
        <f>IF(0.00162*10508=0," ",TEXT(,ROUND((0.00162*10508*7.281),2)))</f>
        <v>123.94</v>
      </c>
      <c r="M104" s="49"/>
      <c r="N104" s="49"/>
      <c r="O104" s="52"/>
      <c r="P104" s="52"/>
      <c r="Q104" s="52"/>
      <c r="R104" s="52"/>
      <c r="S104" s="52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 t="s">
        <v>362</v>
      </c>
      <c r="AG104" s="53" t="s">
        <v>163</v>
      </c>
      <c r="AH104" s="53"/>
      <c r="AI104" s="53">
        <f>0+0</f>
        <v>0</v>
      </c>
    </row>
    <row r="105" spans="1:35" ht="89.25" x14ac:dyDescent="0.2">
      <c r="A105" s="46">
        <v>70</v>
      </c>
      <c r="B105" s="47" t="s">
        <v>333</v>
      </c>
      <c r="C105" s="48" t="str">
        <f t="shared" ca="1" si="2"/>
        <v xml:space="preserve">Устройство переходных лестниц  на кровле
100 м ограждения
124 руб. НР 92%=120%*(0,85*0,9) от ФОТ (135 руб.)
59 руб.СП 44%=65%*(0,8*0,85) от ФОТ (135 руб.)
</v>
      </c>
      <c r="D105" s="46">
        <v>0.12</v>
      </c>
      <c r="E105" s="49" t="s">
        <v>334</v>
      </c>
      <c r="F105" s="49" t="s">
        <v>335</v>
      </c>
      <c r="G105" s="49">
        <v>3032.91</v>
      </c>
      <c r="H105" s="50" t="s">
        <v>336</v>
      </c>
      <c r="I105" s="51">
        <v>2960</v>
      </c>
      <c r="J105" s="49">
        <v>135</v>
      </c>
      <c r="K105" s="49">
        <v>91</v>
      </c>
      <c r="L105" s="49" t="str">
        <f>IF(0.12*3032.91=0," ",TEXT(,ROUND((0.12*3032.91*7.51),2)))</f>
        <v>2733.26</v>
      </c>
      <c r="M105" s="49" t="s">
        <v>338</v>
      </c>
      <c r="N105" s="49" t="s">
        <v>363</v>
      </c>
      <c r="O105" s="52"/>
      <c r="P105" s="52"/>
      <c r="Q105" s="52"/>
      <c r="R105" s="52"/>
      <c r="S105" s="52"/>
      <c r="T105" s="53"/>
      <c r="U105" s="53"/>
      <c r="V105" s="53"/>
      <c r="W105" s="53"/>
      <c r="X105" s="53"/>
      <c r="Y105" s="53"/>
      <c r="Z105" s="53"/>
      <c r="AA105" s="53" t="s">
        <v>150</v>
      </c>
      <c r="AB105" s="53" t="s">
        <v>151</v>
      </c>
      <c r="AC105" s="53">
        <v>124</v>
      </c>
      <c r="AD105" s="53">
        <v>59</v>
      </c>
      <c r="AE105" s="53"/>
      <c r="AF105" s="53" t="s">
        <v>364</v>
      </c>
      <c r="AG105" s="53" t="s">
        <v>341</v>
      </c>
      <c r="AH105" s="53"/>
      <c r="AI105" s="53">
        <f>135+0</f>
        <v>135</v>
      </c>
    </row>
    <row r="106" spans="1:35" ht="102" x14ac:dyDescent="0.2">
      <c r="A106" s="46">
        <v>71</v>
      </c>
      <c r="B106" s="47" t="s">
        <v>342</v>
      </c>
      <c r="C106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6" s="46">
        <v>-3.5999999999999997E-2</v>
      </c>
      <c r="E106" s="49">
        <v>10045</v>
      </c>
      <c r="F106" s="49"/>
      <c r="G106" s="49">
        <v>10045</v>
      </c>
      <c r="H106" s="50" t="s">
        <v>343</v>
      </c>
      <c r="I106" s="51">
        <v>-2727</v>
      </c>
      <c r="J106" s="49"/>
      <c r="K106" s="49"/>
      <c r="L106" s="49" t="str">
        <f>IF(-0.036*10045=0," ",TEXT(,ROUND((-0.036*10045*7.534),2)))</f>
        <v>-2724.45</v>
      </c>
      <c r="M106" s="49"/>
      <c r="N106" s="49"/>
      <c r="O106" s="52"/>
      <c r="P106" s="52"/>
      <c r="Q106" s="52"/>
      <c r="R106" s="52"/>
      <c r="S106" s="52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 t="s">
        <v>348</v>
      </c>
      <c r="AG106" s="53" t="s">
        <v>163</v>
      </c>
      <c r="AH106" s="53"/>
      <c r="AI106" s="53">
        <f>0+0</f>
        <v>0</v>
      </c>
    </row>
    <row r="107" spans="1:35" ht="63.75" x14ac:dyDescent="0.2">
      <c r="A107" s="46">
        <v>72</v>
      </c>
      <c r="B107" s="47" t="s">
        <v>349</v>
      </c>
      <c r="C107" s="48" t="str">
        <f t="shared" ca="1" si="2"/>
        <v xml:space="preserve">Лестница кровельная длиной 1860 мм 2200/1,18/1,86/5,56=180,28
м
</v>
      </c>
      <c r="D107" s="46">
        <v>12</v>
      </c>
      <c r="E107" s="49">
        <v>180.28</v>
      </c>
      <c r="F107" s="49"/>
      <c r="G107" s="49">
        <v>180.28</v>
      </c>
      <c r="H107" s="50" t="s">
        <v>141</v>
      </c>
      <c r="I107" s="51">
        <v>12026</v>
      </c>
      <c r="J107" s="49"/>
      <c r="K107" s="49"/>
      <c r="L107" s="49" t="str">
        <f>IF(12*180.28=0," ",TEXT(,ROUND((12*180.28*5.56),2)))</f>
        <v>12028.28</v>
      </c>
      <c r="M107" s="49"/>
      <c r="N107" s="49"/>
      <c r="O107" s="52"/>
      <c r="P107" s="52"/>
      <c r="Q107" s="52"/>
      <c r="R107" s="52"/>
      <c r="S107" s="52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 t="s">
        <v>365</v>
      </c>
      <c r="AG107" s="53" t="s">
        <v>351</v>
      </c>
      <c r="AH107" s="53"/>
      <c r="AI107" s="53">
        <f>0+0</f>
        <v>0</v>
      </c>
    </row>
    <row r="108" spans="1:35" ht="76.5" x14ac:dyDescent="0.2">
      <c r="A108" s="46">
        <v>73</v>
      </c>
      <c r="B108" s="47" t="s">
        <v>333</v>
      </c>
      <c r="C108" s="48" t="str">
        <f t="shared" ca="1" si="2"/>
        <v xml:space="preserve">Устройство переходных мостиков  на кровле
100 м ограждения
16 руб. НР 92%=120%*(0,85*0,9) от ФОТ (17 руб.)
7 руб.СП 44%=65%*(0,8*0,85) от ФОТ (17 руб.)
</v>
      </c>
      <c r="D108" s="46" t="s">
        <v>366</v>
      </c>
      <c r="E108" s="49" t="s">
        <v>334</v>
      </c>
      <c r="F108" s="49" t="s">
        <v>335</v>
      </c>
      <c r="G108" s="49">
        <v>3032.91</v>
      </c>
      <c r="H108" s="50" t="s">
        <v>336</v>
      </c>
      <c r="I108" s="51">
        <v>599</v>
      </c>
      <c r="J108" s="49">
        <v>17</v>
      </c>
      <c r="K108" s="49">
        <v>10</v>
      </c>
      <c r="L108" s="49" t="str">
        <f>IF(0.025*3032.91=0," ",TEXT(,ROUND((0.025*3032.91*7.51),2)))</f>
        <v>569.43</v>
      </c>
      <c r="M108" s="49" t="s">
        <v>338</v>
      </c>
      <c r="N108" s="49" t="s">
        <v>367</v>
      </c>
      <c r="O108" s="52"/>
      <c r="P108" s="52"/>
      <c r="Q108" s="52"/>
      <c r="R108" s="52"/>
      <c r="S108" s="52"/>
      <c r="T108" s="53"/>
      <c r="U108" s="53"/>
      <c r="V108" s="53"/>
      <c r="W108" s="53"/>
      <c r="X108" s="53"/>
      <c r="Y108" s="53"/>
      <c r="Z108" s="53"/>
      <c r="AA108" s="53" t="s">
        <v>150</v>
      </c>
      <c r="AB108" s="53" t="s">
        <v>151</v>
      </c>
      <c r="AC108" s="53">
        <v>16</v>
      </c>
      <c r="AD108" s="53">
        <v>7</v>
      </c>
      <c r="AE108" s="53"/>
      <c r="AF108" s="53" t="s">
        <v>368</v>
      </c>
      <c r="AG108" s="53" t="s">
        <v>341</v>
      </c>
      <c r="AH108" s="53"/>
      <c r="AI108" s="53">
        <f>17+0</f>
        <v>17</v>
      </c>
    </row>
    <row r="109" spans="1:35" ht="102" x14ac:dyDescent="0.2">
      <c r="A109" s="46">
        <v>74</v>
      </c>
      <c r="B109" s="47" t="s">
        <v>342</v>
      </c>
      <c r="C109" s="48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9" s="46">
        <v>-7.4999999999999997E-3</v>
      </c>
      <c r="E109" s="49">
        <v>10045</v>
      </c>
      <c r="F109" s="49"/>
      <c r="G109" s="49">
        <v>10045</v>
      </c>
      <c r="H109" s="50" t="s">
        <v>343</v>
      </c>
      <c r="I109" s="51">
        <v>-565</v>
      </c>
      <c r="J109" s="49"/>
      <c r="K109" s="49"/>
      <c r="L109" s="49" t="str">
        <f>IF(-0.0075*10045=0," ",TEXT(,ROUND((-0.0075*10045*7.534),2)))</f>
        <v>-567.59</v>
      </c>
      <c r="M109" s="49"/>
      <c r="N109" s="49"/>
      <c r="O109" s="52"/>
      <c r="P109" s="52"/>
      <c r="Q109" s="52"/>
      <c r="R109" s="52"/>
      <c r="S109" s="52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 t="s">
        <v>348</v>
      </c>
      <c r="AG109" s="53" t="s">
        <v>163</v>
      </c>
      <c r="AH109" s="53"/>
      <c r="AI109" s="53">
        <f>0+0</f>
        <v>0</v>
      </c>
    </row>
    <row r="110" spans="1:35" ht="51" x14ac:dyDescent="0.2">
      <c r="A110" s="46">
        <v>75</v>
      </c>
      <c r="B110" s="47" t="s">
        <v>369</v>
      </c>
      <c r="C110" s="48" t="str">
        <f t="shared" ca="1" si="2"/>
        <v xml:space="preserve">Переходный мостик 1250 мм 2250/1,18/5,56=342,95
шт
</v>
      </c>
      <c r="D110" s="46">
        <v>2</v>
      </c>
      <c r="E110" s="49">
        <v>342.95</v>
      </c>
      <c r="F110" s="49"/>
      <c r="G110" s="49">
        <v>342.95</v>
      </c>
      <c r="H110" s="50" t="s">
        <v>141</v>
      </c>
      <c r="I110" s="51">
        <v>3814</v>
      </c>
      <c r="J110" s="49"/>
      <c r="K110" s="49"/>
      <c r="L110" s="49" t="str">
        <f>IF(2*342.95=0," ",TEXT(,ROUND((2*342.95*5.56),2)))</f>
        <v>3813.6</v>
      </c>
      <c r="M110" s="49"/>
      <c r="N110" s="49"/>
      <c r="O110" s="52"/>
      <c r="P110" s="52"/>
      <c r="Q110" s="52"/>
      <c r="R110" s="52"/>
      <c r="S110" s="52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 t="s">
        <v>370</v>
      </c>
      <c r="AG110" s="53" t="s">
        <v>371</v>
      </c>
      <c r="AH110" s="53"/>
      <c r="AI110" s="53">
        <f>0+0</f>
        <v>0</v>
      </c>
    </row>
    <row r="111" spans="1:35" ht="102" x14ac:dyDescent="0.2">
      <c r="A111" s="46">
        <v>76</v>
      </c>
      <c r="B111" s="47" t="s">
        <v>372</v>
      </c>
      <c r="C111" s="48" t="str">
        <f t="shared" ca="1" si="2"/>
        <v xml:space="preserve">Огрунтовка металлических поверхностей за один раз: грунтовкой ГФ-021
100 м2 окрашиваемой поверхности
245 руб. НР 69%=90%*(0,85*0,9) от ФОТ (355 руб.)
170 руб.СП 48%=70%*(0,8*0,85) от ФОТ (355 руб.)
</v>
      </c>
      <c r="D111" s="46">
        <v>0.313</v>
      </c>
      <c r="E111" s="49" t="s">
        <v>373</v>
      </c>
      <c r="F111" s="49" t="s">
        <v>374</v>
      </c>
      <c r="G111" s="49">
        <v>202.72</v>
      </c>
      <c r="H111" s="50" t="s">
        <v>375</v>
      </c>
      <c r="I111" s="51">
        <v>668</v>
      </c>
      <c r="J111" s="49">
        <v>355</v>
      </c>
      <c r="K111" s="49">
        <v>44</v>
      </c>
      <c r="L111" s="49" t="str">
        <f>IF(0.313*202.72=0," ",TEXT(,ROUND((0.313*202.72*4.27),2)))</f>
        <v>270.94</v>
      </c>
      <c r="M111" s="49" t="s">
        <v>376</v>
      </c>
      <c r="N111" s="49">
        <v>1.66</v>
      </c>
      <c r="O111" s="52"/>
      <c r="P111" s="52"/>
      <c r="Q111" s="52"/>
      <c r="R111" s="52"/>
      <c r="S111" s="52"/>
      <c r="T111" s="53"/>
      <c r="U111" s="53"/>
      <c r="V111" s="53"/>
      <c r="W111" s="53"/>
      <c r="X111" s="53"/>
      <c r="Y111" s="53"/>
      <c r="Z111" s="53"/>
      <c r="AA111" s="53" t="s">
        <v>225</v>
      </c>
      <c r="AB111" s="53" t="s">
        <v>34</v>
      </c>
      <c r="AC111" s="53">
        <v>245</v>
      </c>
      <c r="AD111" s="53">
        <v>170</v>
      </c>
      <c r="AE111" s="53"/>
      <c r="AF111" s="53" t="s">
        <v>377</v>
      </c>
      <c r="AG111" s="53" t="s">
        <v>378</v>
      </c>
      <c r="AH111" s="53"/>
      <c r="AI111" s="53">
        <f>355+0</f>
        <v>355</v>
      </c>
    </row>
    <row r="112" spans="1:35" ht="127.5" x14ac:dyDescent="0.2">
      <c r="A112" s="55">
        <v>77</v>
      </c>
      <c r="B112" s="56" t="s">
        <v>379</v>
      </c>
      <c r="C112" s="57" t="str">
        <f t="shared" ca="1" si="2"/>
        <v xml:space="preserve">Окраска металлических огрунтованных поверхностей: эмалью ПФ-115
100 м2 окрашиваемой поверхности
(За 2 раза ПЗ=2 (ОЗП=2; ЭМ=2 к расх.; ЗПМ=2; МАТ=2 к расх.; ТЗ=2; ТЗМ=2))
292 руб. НР 69%=90%*(0,85*0,9) от ФОТ (423 руб.)
203 руб.СП 48%=70%*(0,8*0,85) от ФОТ (423 руб.)
</v>
      </c>
      <c r="D112" s="55">
        <v>0.313</v>
      </c>
      <c r="E112" s="58" t="s">
        <v>380</v>
      </c>
      <c r="F112" s="58" t="s">
        <v>381</v>
      </c>
      <c r="G112" s="58">
        <v>562.55999999999995</v>
      </c>
      <c r="H112" s="59" t="s">
        <v>382</v>
      </c>
      <c r="I112" s="60">
        <v>1346</v>
      </c>
      <c r="J112" s="58">
        <v>423</v>
      </c>
      <c r="K112" s="58">
        <v>54</v>
      </c>
      <c r="L112" s="58" t="str">
        <f>IF(0.313*562.56=0," ",TEXT(,ROUND((0.313*562.56*4.94),2)))</f>
        <v>869.84</v>
      </c>
      <c r="M112" s="58" t="s">
        <v>383</v>
      </c>
      <c r="N112" s="58" t="s">
        <v>384</v>
      </c>
      <c r="O112" s="52"/>
      <c r="P112" s="52"/>
      <c r="Q112" s="52"/>
      <c r="R112" s="52"/>
      <c r="S112" s="52"/>
      <c r="T112" s="53"/>
      <c r="U112" s="53"/>
      <c r="V112" s="53"/>
      <c r="W112" s="53"/>
      <c r="X112" s="53"/>
      <c r="Y112" s="53"/>
      <c r="Z112" s="53"/>
      <c r="AA112" s="53" t="s">
        <v>225</v>
      </c>
      <c r="AB112" s="53" t="s">
        <v>34</v>
      </c>
      <c r="AC112" s="53">
        <v>292</v>
      </c>
      <c r="AD112" s="53">
        <v>203</v>
      </c>
      <c r="AE112" s="53" t="s">
        <v>385</v>
      </c>
      <c r="AF112" s="53" t="s">
        <v>386</v>
      </c>
      <c r="AG112" s="53" t="s">
        <v>378</v>
      </c>
      <c r="AH112" s="53"/>
      <c r="AI112" s="53">
        <f>423+0</f>
        <v>423</v>
      </c>
    </row>
    <row r="113" spans="1:35" ht="25.5" x14ac:dyDescent="0.2">
      <c r="A113" s="72" t="s">
        <v>104</v>
      </c>
      <c r="B113" s="67"/>
      <c r="C113" s="67"/>
      <c r="D113" s="67"/>
      <c r="E113" s="67"/>
      <c r="F113" s="67"/>
      <c r="G113" s="67"/>
      <c r="H113" s="67"/>
      <c r="I113" s="51">
        <v>192770</v>
      </c>
      <c r="J113" s="49">
        <v>11245</v>
      </c>
      <c r="K113" s="49" t="s">
        <v>387</v>
      </c>
      <c r="L113" s="49">
        <v>178455</v>
      </c>
      <c r="M113" s="49"/>
      <c r="N113" s="49" t="s">
        <v>388</v>
      </c>
      <c r="O113" s="18"/>
      <c r="P113" s="19"/>
      <c r="Q113" s="18"/>
      <c r="R113" s="18"/>
      <c r="S113" s="18"/>
    </row>
    <row r="114" spans="1:35" ht="25.5" x14ac:dyDescent="0.2">
      <c r="A114" s="72" t="s">
        <v>234</v>
      </c>
      <c r="B114" s="67"/>
      <c r="C114" s="67"/>
      <c r="D114" s="67"/>
      <c r="E114" s="67"/>
      <c r="F114" s="67"/>
      <c r="G114" s="67"/>
      <c r="H114" s="67"/>
      <c r="I114" s="51">
        <v>194939</v>
      </c>
      <c r="J114" s="49">
        <v>12707</v>
      </c>
      <c r="K114" s="49" t="s">
        <v>389</v>
      </c>
      <c r="L114" s="49">
        <v>178455</v>
      </c>
      <c r="M114" s="49"/>
      <c r="N114" s="49" t="s">
        <v>390</v>
      </c>
      <c r="O114" s="18"/>
      <c r="P114" s="19"/>
      <c r="Q114" s="18"/>
      <c r="R114" s="18"/>
      <c r="S114" s="18"/>
    </row>
    <row r="115" spans="1:35" x14ac:dyDescent="0.2">
      <c r="A115" s="72" t="s">
        <v>237</v>
      </c>
      <c r="B115" s="67"/>
      <c r="C115" s="67"/>
      <c r="D115" s="67"/>
      <c r="E115" s="67"/>
      <c r="F115" s="67"/>
      <c r="G115" s="67"/>
      <c r="H115" s="67"/>
      <c r="I115" s="51"/>
      <c r="J115" s="49"/>
      <c r="K115" s="49"/>
      <c r="L115" s="49"/>
      <c r="M115" s="49"/>
      <c r="N115" s="49"/>
      <c r="O115" s="18"/>
      <c r="P115" s="19"/>
      <c r="Q115" s="18"/>
      <c r="R115" s="18"/>
      <c r="S115" s="18"/>
    </row>
    <row r="116" spans="1:35" ht="27.95" customHeight="1" x14ac:dyDescent="0.2">
      <c r="A116" s="72" t="s">
        <v>391</v>
      </c>
      <c r="B116" s="67"/>
      <c r="C116" s="67"/>
      <c r="D116" s="67"/>
      <c r="E116" s="67"/>
      <c r="F116" s="67"/>
      <c r="G116" s="67"/>
      <c r="H116" s="67"/>
      <c r="I116" s="51">
        <v>2169</v>
      </c>
      <c r="J116" s="49">
        <v>1461</v>
      </c>
      <c r="K116" s="49" t="s">
        <v>392</v>
      </c>
      <c r="L116" s="49"/>
      <c r="M116" s="49"/>
      <c r="N116" s="49" t="s">
        <v>393</v>
      </c>
      <c r="O116" s="18"/>
      <c r="P116" s="19"/>
      <c r="Q116" s="18"/>
      <c r="R116" s="18"/>
      <c r="S116" s="18"/>
    </row>
    <row r="117" spans="1:35" ht="25.5" x14ac:dyDescent="0.2">
      <c r="A117" s="72" t="s">
        <v>107</v>
      </c>
      <c r="B117" s="67"/>
      <c r="C117" s="67"/>
      <c r="D117" s="67"/>
      <c r="E117" s="67"/>
      <c r="F117" s="67"/>
      <c r="G117" s="67"/>
      <c r="H117" s="67"/>
      <c r="I117" s="51">
        <v>1072075</v>
      </c>
      <c r="J117" s="49">
        <v>214751</v>
      </c>
      <c r="K117" s="49" t="s">
        <v>394</v>
      </c>
      <c r="L117" s="49">
        <v>815554</v>
      </c>
      <c r="M117" s="49"/>
      <c r="N117" s="49" t="s">
        <v>390</v>
      </c>
      <c r="O117" s="18"/>
      <c r="P117" s="19"/>
      <c r="Q117" s="18"/>
      <c r="R117" s="18"/>
      <c r="S117" s="18"/>
    </row>
    <row r="118" spans="1:35" x14ac:dyDescent="0.2">
      <c r="A118" s="72" t="s">
        <v>109</v>
      </c>
      <c r="B118" s="67"/>
      <c r="C118" s="67"/>
      <c r="D118" s="67"/>
      <c r="E118" s="67"/>
      <c r="F118" s="67"/>
      <c r="G118" s="67"/>
      <c r="H118" s="67"/>
      <c r="I118" s="51">
        <v>191518</v>
      </c>
      <c r="J118" s="49"/>
      <c r="K118" s="49"/>
      <c r="L118" s="49"/>
      <c r="M118" s="49"/>
      <c r="N118" s="49"/>
      <c r="O118" s="18"/>
      <c r="P118" s="19"/>
      <c r="Q118" s="18"/>
      <c r="R118" s="18"/>
      <c r="S118" s="18"/>
    </row>
    <row r="119" spans="1:35" x14ac:dyDescent="0.2">
      <c r="A119" s="72" t="s">
        <v>110</v>
      </c>
      <c r="B119" s="67"/>
      <c r="C119" s="67"/>
      <c r="D119" s="67"/>
      <c r="E119" s="67"/>
      <c r="F119" s="67"/>
      <c r="G119" s="67"/>
      <c r="H119" s="67"/>
      <c r="I119" s="51">
        <v>97273</v>
      </c>
      <c r="J119" s="49"/>
      <c r="K119" s="49"/>
      <c r="L119" s="49"/>
      <c r="M119" s="49"/>
      <c r="N119" s="49"/>
      <c r="O119" s="18"/>
      <c r="P119" s="19"/>
      <c r="Q119" s="18"/>
      <c r="R119" s="18"/>
      <c r="S119" s="18"/>
    </row>
    <row r="120" spans="1:35" ht="25.5" x14ac:dyDescent="0.2">
      <c r="A120" s="73" t="s">
        <v>395</v>
      </c>
      <c r="B120" s="74"/>
      <c r="C120" s="74"/>
      <c r="D120" s="74"/>
      <c r="E120" s="74"/>
      <c r="F120" s="74"/>
      <c r="G120" s="74"/>
      <c r="H120" s="74"/>
      <c r="I120" s="61">
        <v>1360866</v>
      </c>
      <c r="J120" s="62"/>
      <c r="K120" s="62"/>
      <c r="L120" s="62"/>
      <c r="M120" s="62"/>
      <c r="N120" s="62" t="s">
        <v>390</v>
      </c>
      <c r="O120" s="18"/>
      <c r="P120" s="19"/>
      <c r="Q120" s="18"/>
      <c r="R120" s="18"/>
      <c r="S120" s="18"/>
    </row>
    <row r="121" spans="1:35" ht="21" customHeight="1" x14ac:dyDescent="0.2">
      <c r="A121" s="70" t="s">
        <v>396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</row>
    <row r="122" spans="1:35" ht="114.75" x14ac:dyDescent="0.2">
      <c r="A122" s="46">
        <v>78</v>
      </c>
      <c r="B122" s="47" t="s">
        <v>397</v>
      </c>
      <c r="C122" s="48" t="str">
        <f t="shared" ref="C122:C132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Монтаж каркасов вытяжных, вентиляционных и дымовых труб высотой до 250 м
1 т конструкций
1283 руб. НР 69%=90%*(0,85*0,9) от ФОТ (1859 руб.)
1078 руб.СП 58%=85%*(0,8*0,85) от ФОТ (1859 руб.)
</v>
      </c>
      <c r="D122" s="46">
        <v>0.29010000000000002</v>
      </c>
      <c r="E122" s="49" t="s">
        <v>398</v>
      </c>
      <c r="F122" s="49" t="s">
        <v>399</v>
      </c>
      <c r="G122" s="49">
        <v>383.82</v>
      </c>
      <c r="H122" s="50" t="s">
        <v>400</v>
      </c>
      <c r="I122" s="51">
        <v>2990</v>
      </c>
      <c r="J122" s="49">
        <v>1842</v>
      </c>
      <c r="K122" s="49" t="s">
        <v>401</v>
      </c>
      <c r="L122" s="49" t="str">
        <f>IF(0.2901*383.82=0," ",TEXT(,ROUND((0.2901*383.82*5.65),2)))</f>
        <v>629.11</v>
      </c>
      <c r="M122" s="49" t="s">
        <v>402</v>
      </c>
      <c r="N122" s="49" t="s">
        <v>403</v>
      </c>
      <c r="O122" s="52"/>
      <c r="P122" s="52"/>
      <c r="Q122" s="52"/>
      <c r="R122" s="52"/>
      <c r="S122" s="52"/>
      <c r="T122" s="53"/>
      <c r="U122" s="53"/>
      <c r="V122" s="53"/>
      <c r="W122" s="53"/>
      <c r="X122" s="53"/>
      <c r="Y122" s="53"/>
      <c r="Z122" s="53"/>
      <c r="AA122" s="53" t="s">
        <v>225</v>
      </c>
      <c r="AB122" s="53" t="s">
        <v>226</v>
      </c>
      <c r="AC122" s="53">
        <v>1283</v>
      </c>
      <c r="AD122" s="53">
        <v>1078</v>
      </c>
      <c r="AE122" s="53"/>
      <c r="AF122" s="53" t="s">
        <v>404</v>
      </c>
      <c r="AG122" s="53" t="s">
        <v>228</v>
      </c>
      <c r="AH122" s="53"/>
      <c r="AI122" s="53">
        <f>1842+17</f>
        <v>1859</v>
      </c>
    </row>
    <row r="123" spans="1:35" ht="89.25" x14ac:dyDescent="0.2">
      <c r="A123" s="46">
        <v>79</v>
      </c>
      <c r="B123" s="47" t="s">
        <v>405</v>
      </c>
      <c r="C123" s="48" t="str">
        <f t="shared" ca="1" si="3"/>
        <v xml:space="preserve">Отдельные конструктивные элементы зданий и сооружений с преобладанием: горячекатаных профилей, средняя масса сборочной единицы до 0,1 т
т
</v>
      </c>
      <c r="D123" s="46">
        <v>0.29010000000000002</v>
      </c>
      <c r="E123" s="49">
        <v>8060</v>
      </c>
      <c r="F123" s="49"/>
      <c r="G123" s="49">
        <v>8060</v>
      </c>
      <c r="H123" s="50" t="s">
        <v>406</v>
      </c>
      <c r="I123" s="51">
        <v>22192</v>
      </c>
      <c r="J123" s="49"/>
      <c r="K123" s="49"/>
      <c r="L123" s="49" t="str">
        <f>IF(0.2901*8060=0," ",TEXT(,ROUND((0.2901*8060*9.492),2)))</f>
        <v>22194.25</v>
      </c>
      <c r="M123" s="49"/>
      <c r="N123" s="49"/>
      <c r="O123" s="52"/>
      <c r="P123" s="52"/>
      <c r="Q123" s="52"/>
      <c r="R123" s="52"/>
      <c r="S123" s="52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 t="s">
        <v>407</v>
      </c>
      <c r="AG123" s="53" t="s">
        <v>163</v>
      </c>
      <c r="AH123" s="53"/>
      <c r="AI123" s="53">
        <f>0+0</f>
        <v>0</v>
      </c>
    </row>
    <row r="124" spans="1:35" ht="51" x14ac:dyDescent="0.2">
      <c r="A124" s="46">
        <v>80</v>
      </c>
      <c r="B124" s="47" t="s">
        <v>408</v>
      </c>
      <c r="C124" s="48" t="str">
        <f t="shared" ca="1" si="3"/>
        <v xml:space="preserve">Профиль направляющий: ПН-6 100/40/0,6
м
</v>
      </c>
      <c r="D124" s="46">
        <v>95.2</v>
      </c>
      <c r="E124" s="49">
        <v>8.51</v>
      </c>
      <c r="F124" s="49"/>
      <c r="G124" s="49">
        <v>8.51</v>
      </c>
      <c r="H124" s="50" t="s">
        <v>409</v>
      </c>
      <c r="I124" s="51">
        <v>4715</v>
      </c>
      <c r="J124" s="49"/>
      <c r="K124" s="49"/>
      <c r="L124" s="49" t="str">
        <f>IF(95.2*8.51=0," ",TEXT(,ROUND((95.2*8.51*5.821),2)))</f>
        <v>4715.89</v>
      </c>
      <c r="M124" s="49"/>
      <c r="N124" s="49"/>
      <c r="O124" s="52"/>
      <c r="P124" s="52"/>
      <c r="Q124" s="52"/>
      <c r="R124" s="52"/>
      <c r="S124" s="52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 t="s">
        <v>410</v>
      </c>
      <c r="AG124" s="53" t="s">
        <v>351</v>
      </c>
      <c r="AH124" s="53"/>
      <c r="AI124" s="53">
        <f>0+0</f>
        <v>0</v>
      </c>
    </row>
    <row r="125" spans="1:35" ht="127.5" x14ac:dyDescent="0.2">
      <c r="A125" s="46">
        <v>81</v>
      </c>
      <c r="B125" s="47" t="s">
        <v>411</v>
      </c>
      <c r="C125" s="48" t="str">
        <f t="shared" ca="1" si="3"/>
        <v xml:space="preserve">Обертывание поверхности изоляции рулонными материалами насухо с проклейкой швов
100 м2 поверхности покрытия изоляции
(материалы МАТ=0 к расх.)
1197 руб. НР 77%=100%*(0,85*0,9) от ФОТ (1555 руб.)
746 руб.СП 48%=70%*(0,8*0,85) от ФОТ (1555 руб.)
</v>
      </c>
      <c r="D125" s="46">
        <v>0.29099999999999998</v>
      </c>
      <c r="E125" s="49" t="s">
        <v>412</v>
      </c>
      <c r="F125" s="49">
        <v>50.59</v>
      </c>
      <c r="G125" s="49"/>
      <c r="H125" s="50" t="s">
        <v>413</v>
      </c>
      <c r="I125" s="51">
        <v>1759</v>
      </c>
      <c r="J125" s="49">
        <v>1555</v>
      </c>
      <c r="K125" s="49">
        <v>204</v>
      </c>
      <c r="L125" s="49" t="str">
        <f>IF(0.291*0=0," ",TEXT(,ROUND((0.291*0*9.72),2)))</f>
        <v xml:space="preserve"> </v>
      </c>
      <c r="M125" s="49">
        <v>31.98</v>
      </c>
      <c r="N125" s="49">
        <v>9.31</v>
      </c>
      <c r="O125" s="52"/>
      <c r="P125" s="52"/>
      <c r="Q125" s="52"/>
      <c r="R125" s="52"/>
      <c r="S125" s="52"/>
      <c r="T125" s="53"/>
      <c r="U125" s="53"/>
      <c r="V125" s="53"/>
      <c r="W125" s="53"/>
      <c r="X125" s="53"/>
      <c r="Y125" s="53"/>
      <c r="Z125" s="53"/>
      <c r="AA125" s="53" t="s">
        <v>414</v>
      </c>
      <c r="AB125" s="53" t="s">
        <v>34</v>
      </c>
      <c r="AC125" s="53">
        <v>1197</v>
      </c>
      <c r="AD125" s="53">
        <v>746</v>
      </c>
      <c r="AE125" s="53" t="s">
        <v>415</v>
      </c>
      <c r="AF125" s="53" t="s">
        <v>416</v>
      </c>
      <c r="AG125" s="53" t="s">
        <v>417</v>
      </c>
      <c r="AH125" s="53"/>
      <c r="AI125" s="53">
        <f>1555+0</f>
        <v>1555</v>
      </c>
    </row>
    <row r="126" spans="1:35" ht="63.75" x14ac:dyDescent="0.2">
      <c r="A126" s="46">
        <v>82</v>
      </c>
      <c r="B126" s="47" t="s">
        <v>418</v>
      </c>
      <c r="C126" s="48" t="str">
        <f t="shared" ca="1" si="3"/>
        <v xml:space="preserve">Изоспан: Двухслойная паропроницаемая мембрана марки В 14,62/5,56=2,63
м2
</v>
      </c>
      <c r="D126" s="46" t="s">
        <v>419</v>
      </c>
      <c r="E126" s="49">
        <v>2.63</v>
      </c>
      <c r="F126" s="49"/>
      <c r="G126" s="49">
        <v>2.63</v>
      </c>
      <c r="H126" s="50" t="s">
        <v>141</v>
      </c>
      <c r="I126" s="51">
        <v>467</v>
      </c>
      <c r="J126" s="49"/>
      <c r="K126" s="49"/>
      <c r="L126" s="49" t="str">
        <f>IF(32.01*2.63=0," ",TEXT(,ROUND((32.01*2.63*5.56),2)))</f>
        <v>468.08</v>
      </c>
      <c r="M126" s="49"/>
      <c r="N126" s="49"/>
      <c r="O126" s="52"/>
      <c r="P126" s="52"/>
      <c r="Q126" s="52"/>
      <c r="R126" s="52"/>
      <c r="S126" s="52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 t="s">
        <v>142</v>
      </c>
      <c r="AG126" s="53" t="s">
        <v>139</v>
      </c>
      <c r="AH126" s="53"/>
      <c r="AI126" s="53">
        <f>0+0</f>
        <v>0</v>
      </c>
    </row>
    <row r="127" spans="1:35" ht="76.5" x14ac:dyDescent="0.2">
      <c r="A127" s="46">
        <v>83</v>
      </c>
      <c r="B127" s="47" t="s">
        <v>190</v>
      </c>
      <c r="C127" s="48" t="str">
        <f t="shared" ca="1" si="3"/>
        <v xml:space="preserve">Плиты теплоизоляционные энергетические гидрофобизированные базальтовые: ПТЭ-125 , размером 2000х1000х50 мм 4146,89/5,56=745,84
м3
</v>
      </c>
      <c r="D127" s="46" t="s">
        <v>420</v>
      </c>
      <c r="E127" s="49">
        <v>745.84</v>
      </c>
      <c r="F127" s="49"/>
      <c r="G127" s="49">
        <v>745.84</v>
      </c>
      <c r="H127" s="50" t="s">
        <v>141</v>
      </c>
      <c r="I127" s="51">
        <v>11531</v>
      </c>
      <c r="J127" s="49"/>
      <c r="K127" s="49"/>
      <c r="L127" s="49" t="str">
        <f>IF(2.781*745.84=0," ",TEXT(,ROUND((2.781*745.84*5.56),2)))</f>
        <v>11532.45</v>
      </c>
      <c r="M127" s="49"/>
      <c r="N127" s="49"/>
      <c r="O127" s="52"/>
      <c r="P127" s="52"/>
      <c r="Q127" s="52"/>
      <c r="R127" s="52"/>
      <c r="S127" s="52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 t="s">
        <v>192</v>
      </c>
      <c r="AG127" s="53" t="s">
        <v>173</v>
      </c>
      <c r="AH127" s="53"/>
      <c r="AI127" s="53">
        <f>0+0</f>
        <v>0</v>
      </c>
    </row>
    <row r="128" spans="1:35" ht="127.5" x14ac:dyDescent="0.2">
      <c r="A128" s="46">
        <v>84</v>
      </c>
      <c r="B128" s="47" t="s">
        <v>421</v>
      </c>
      <c r="C128" s="48" t="str">
        <f t="shared" ca="1" si="3"/>
        <v xml:space="preserve">Покрытие изоляции плоских (криволинейных) поверхностей листовым металлом с заготовкой покрытия
100 м2 поверхности покрытия изоляции
9695 руб. НР 77%=100%*(0,85*0,9) от ФОТ (12591 руб.)
6044 руб.СП 48%=70%*(0,8*0,85) от ФОТ (12591 руб.)
</v>
      </c>
      <c r="D128" s="46">
        <v>0.51200000000000001</v>
      </c>
      <c r="E128" s="49" t="s">
        <v>422</v>
      </c>
      <c r="F128" s="49">
        <v>578.44000000000005</v>
      </c>
      <c r="G128" s="49">
        <v>8515.41</v>
      </c>
      <c r="H128" s="50" t="s">
        <v>423</v>
      </c>
      <c r="I128" s="51">
        <v>32044</v>
      </c>
      <c r="J128" s="49">
        <v>12591</v>
      </c>
      <c r="K128" s="49">
        <v>3016</v>
      </c>
      <c r="L128" s="49" t="str">
        <f>IF(0.512*8515.41=0," ",TEXT(,ROUND((0.512*8515.41*3.77),2)))</f>
        <v>16436.78</v>
      </c>
      <c r="M128" s="49">
        <v>139.55000000000001</v>
      </c>
      <c r="N128" s="49">
        <v>71.45</v>
      </c>
      <c r="O128" s="52"/>
      <c r="P128" s="52"/>
      <c r="Q128" s="52"/>
      <c r="R128" s="52"/>
      <c r="S128" s="52"/>
      <c r="T128" s="53"/>
      <c r="U128" s="53"/>
      <c r="V128" s="53"/>
      <c r="W128" s="53"/>
      <c r="X128" s="53"/>
      <c r="Y128" s="53"/>
      <c r="Z128" s="53"/>
      <c r="AA128" s="53" t="s">
        <v>414</v>
      </c>
      <c r="AB128" s="53" t="s">
        <v>34</v>
      </c>
      <c r="AC128" s="53">
        <v>9695</v>
      </c>
      <c r="AD128" s="53">
        <v>6044</v>
      </c>
      <c r="AE128" s="53"/>
      <c r="AF128" s="53" t="s">
        <v>424</v>
      </c>
      <c r="AG128" s="53" t="s">
        <v>417</v>
      </c>
      <c r="AH128" s="53"/>
      <c r="AI128" s="53">
        <f>12591+0</f>
        <v>12591</v>
      </c>
    </row>
    <row r="129" spans="1:35" ht="63.75" x14ac:dyDescent="0.2">
      <c r="A129" s="46">
        <v>85</v>
      </c>
      <c r="B129" s="47" t="s">
        <v>425</v>
      </c>
      <c r="C129" s="48" t="str">
        <f t="shared" ca="1" si="3"/>
        <v xml:space="preserve">Сталь листовая оцинкованная толщиной листа: 0,8 мм
т
</v>
      </c>
      <c r="D129" s="46">
        <v>-0.39369999999999999</v>
      </c>
      <c r="E129" s="49">
        <v>11000</v>
      </c>
      <c r="F129" s="49"/>
      <c r="G129" s="49">
        <v>11000</v>
      </c>
      <c r="H129" s="50" t="s">
        <v>426</v>
      </c>
      <c r="I129" s="51">
        <v>-16354</v>
      </c>
      <c r="J129" s="49"/>
      <c r="K129" s="49"/>
      <c r="L129" s="49" t="str">
        <f>IF(-0.3937*11000=0," ",TEXT(,ROUND((-0.3937*11000*3.776),2)))</f>
        <v>-16352.72</v>
      </c>
      <c r="M129" s="49"/>
      <c r="N129" s="49"/>
      <c r="O129" s="52"/>
      <c r="P129" s="52"/>
      <c r="Q129" s="52"/>
      <c r="R129" s="52"/>
      <c r="S129" s="52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 t="s">
        <v>427</v>
      </c>
      <c r="AG129" s="53" t="s">
        <v>163</v>
      </c>
      <c r="AH129" s="53"/>
      <c r="AI129" s="53">
        <f>0+0</f>
        <v>0</v>
      </c>
    </row>
    <row r="130" spans="1:35" ht="63.75" x14ac:dyDescent="0.2">
      <c r="A130" s="46">
        <v>86</v>
      </c>
      <c r="B130" s="47" t="s">
        <v>325</v>
      </c>
      <c r="C130" s="48" t="str">
        <f t="shared" ca="1" si="3"/>
        <v xml:space="preserve">Сталь листовая оцинкованная толщиной листа: 0,55 мм
т
</v>
      </c>
      <c r="D130" s="46">
        <v>0.27010000000000001</v>
      </c>
      <c r="E130" s="49">
        <v>10484</v>
      </c>
      <c r="F130" s="49"/>
      <c r="G130" s="49">
        <v>10484</v>
      </c>
      <c r="H130" s="50" t="s">
        <v>326</v>
      </c>
      <c r="I130" s="51">
        <v>11308</v>
      </c>
      <c r="J130" s="49"/>
      <c r="K130" s="49"/>
      <c r="L130" s="49" t="str">
        <f>IF(0.2701*10484=0," ",TEXT(,ROUND((0.2701*10484*3.993),2)))</f>
        <v>11307.09</v>
      </c>
      <c r="M130" s="49"/>
      <c r="N130" s="49"/>
      <c r="O130" s="52"/>
      <c r="P130" s="52"/>
      <c r="Q130" s="52"/>
      <c r="R130" s="52"/>
      <c r="S130" s="52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 t="s">
        <v>327</v>
      </c>
      <c r="AG130" s="53" t="s">
        <v>163</v>
      </c>
      <c r="AH130" s="53"/>
      <c r="AI130" s="53">
        <f>0+0</f>
        <v>0</v>
      </c>
    </row>
    <row r="131" spans="1:35" ht="114.75" x14ac:dyDescent="0.2">
      <c r="A131" s="46">
        <v>87</v>
      </c>
      <c r="B131" s="47" t="s">
        <v>428</v>
      </c>
      <c r="C131" s="48" t="str">
        <f t="shared" ca="1" si="3"/>
        <v xml:space="preserve">Установка зонтов над шахтами из листовой стали прямоугольного сечения периметром : 2600 мм
1 зонт
1921 руб. НР 98%=128%*(0,85*0,9) от ФОТ (1960 руб.)
1098 руб.СП 56%=83%*(0,8*0,85) от ФОТ (1960 руб.)
</v>
      </c>
      <c r="D131" s="46">
        <v>5</v>
      </c>
      <c r="E131" s="49" t="s">
        <v>429</v>
      </c>
      <c r="F131" s="49">
        <v>4.38</v>
      </c>
      <c r="G131" s="49">
        <v>6.33</v>
      </c>
      <c r="H131" s="50" t="s">
        <v>430</v>
      </c>
      <c r="I131" s="51">
        <v>2361</v>
      </c>
      <c r="J131" s="49">
        <v>1960</v>
      </c>
      <c r="K131" s="49">
        <v>213</v>
      </c>
      <c r="L131" s="49" t="str">
        <f>IF(5*6.33=0," ",TEXT(,ROUND((5*6.33*5.89),2)))</f>
        <v>186.42</v>
      </c>
      <c r="M131" s="49">
        <v>2.27</v>
      </c>
      <c r="N131" s="49">
        <v>11.35</v>
      </c>
      <c r="O131" s="52"/>
      <c r="P131" s="52"/>
      <c r="Q131" s="52"/>
      <c r="R131" s="52"/>
      <c r="S131" s="52"/>
      <c r="T131" s="53"/>
      <c r="U131" s="53"/>
      <c r="V131" s="53"/>
      <c r="W131" s="53"/>
      <c r="X131" s="53"/>
      <c r="Y131" s="53"/>
      <c r="Z131" s="53"/>
      <c r="AA131" s="53" t="s">
        <v>91</v>
      </c>
      <c r="AB131" s="53" t="s">
        <v>92</v>
      </c>
      <c r="AC131" s="53">
        <v>1921</v>
      </c>
      <c r="AD131" s="53">
        <v>1098</v>
      </c>
      <c r="AE131" s="53"/>
      <c r="AF131" s="53" t="s">
        <v>431</v>
      </c>
      <c r="AG131" s="53" t="s">
        <v>432</v>
      </c>
      <c r="AH131" s="53"/>
      <c r="AI131" s="53">
        <f>1960+0</f>
        <v>1960</v>
      </c>
    </row>
    <row r="132" spans="1:35" ht="76.5" x14ac:dyDescent="0.2">
      <c r="A132" s="55">
        <v>88</v>
      </c>
      <c r="B132" s="56" t="s">
        <v>433</v>
      </c>
      <c r="C132" s="57" t="str">
        <f t="shared" ca="1" si="3"/>
        <v xml:space="preserve">Зонты вентиляционных систем из листовой оцинкованной стали: прямоугольные, периметром шахты 2600 мм
шт.
</v>
      </c>
      <c r="D132" s="55">
        <v>5</v>
      </c>
      <c r="E132" s="58">
        <v>321.3</v>
      </c>
      <c r="F132" s="58"/>
      <c r="G132" s="58">
        <v>321.3</v>
      </c>
      <c r="H132" s="59" t="s">
        <v>434</v>
      </c>
      <c r="I132" s="60">
        <v>7389</v>
      </c>
      <c r="J132" s="58"/>
      <c r="K132" s="58"/>
      <c r="L132" s="58" t="str">
        <f>IF(5*321.3=0," ",TEXT(,ROUND((5*321.3*4.598),2)))</f>
        <v>7386.69</v>
      </c>
      <c r="M132" s="58"/>
      <c r="N132" s="58"/>
      <c r="O132" s="52"/>
      <c r="P132" s="52"/>
      <c r="Q132" s="52"/>
      <c r="R132" s="52"/>
      <c r="S132" s="52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 t="s">
        <v>435</v>
      </c>
      <c r="AG132" s="53" t="s">
        <v>231</v>
      </c>
      <c r="AH132" s="53"/>
      <c r="AI132" s="53">
        <f>0+0</f>
        <v>0</v>
      </c>
    </row>
    <row r="133" spans="1:35" ht="25.5" x14ac:dyDescent="0.2">
      <c r="A133" s="72" t="s">
        <v>104</v>
      </c>
      <c r="B133" s="67"/>
      <c r="C133" s="67"/>
      <c r="D133" s="67"/>
      <c r="E133" s="67"/>
      <c r="F133" s="67"/>
      <c r="G133" s="67"/>
      <c r="H133" s="67"/>
      <c r="I133" s="51">
        <v>11210</v>
      </c>
      <c r="J133" s="49">
        <v>924</v>
      </c>
      <c r="K133" s="49" t="s">
        <v>436</v>
      </c>
      <c r="L133" s="49">
        <v>9917</v>
      </c>
      <c r="M133" s="49"/>
      <c r="N133" s="49" t="s">
        <v>437</v>
      </c>
      <c r="O133" s="18"/>
      <c r="P133" s="19"/>
      <c r="Q133" s="18"/>
      <c r="R133" s="18"/>
      <c r="S133" s="18"/>
    </row>
    <row r="134" spans="1:35" ht="25.5" x14ac:dyDescent="0.2">
      <c r="A134" s="72" t="s">
        <v>234</v>
      </c>
      <c r="B134" s="67"/>
      <c r="C134" s="67"/>
      <c r="D134" s="67"/>
      <c r="E134" s="67"/>
      <c r="F134" s="67"/>
      <c r="G134" s="67"/>
      <c r="H134" s="67"/>
      <c r="I134" s="51">
        <v>11441</v>
      </c>
      <c r="J134" s="49">
        <v>1062</v>
      </c>
      <c r="K134" s="49" t="s">
        <v>438</v>
      </c>
      <c r="L134" s="49">
        <v>9917</v>
      </c>
      <c r="M134" s="49"/>
      <c r="N134" s="49" t="s">
        <v>439</v>
      </c>
      <c r="O134" s="18"/>
      <c r="P134" s="19"/>
      <c r="Q134" s="18"/>
      <c r="R134" s="18"/>
      <c r="S134" s="18"/>
    </row>
    <row r="135" spans="1:35" x14ac:dyDescent="0.2">
      <c r="A135" s="72" t="s">
        <v>237</v>
      </c>
      <c r="B135" s="67"/>
      <c r="C135" s="67"/>
      <c r="D135" s="67"/>
      <c r="E135" s="67"/>
      <c r="F135" s="67"/>
      <c r="G135" s="67"/>
      <c r="H135" s="67"/>
      <c r="I135" s="51"/>
      <c r="J135" s="49"/>
      <c r="K135" s="49"/>
      <c r="L135" s="49"/>
      <c r="M135" s="49"/>
      <c r="N135" s="49"/>
      <c r="O135" s="18"/>
      <c r="P135" s="19"/>
      <c r="Q135" s="18"/>
      <c r="R135" s="18"/>
      <c r="S135" s="18"/>
    </row>
    <row r="136" spans="1:35" ht="27.95" customHeight="1" x14ac:dyDescent="0.2">
      <c r="A136" s="72" t="s">
        <v>440</v>
      </c>
      <c r="B136" s="67"/>
      <c r="C136" s="67"/>
      <c r="D136" s="67"/>
      <c r="E136" s="67"/>
      <c r="F136" s="67"/>
      <c r="G136" s="67"/>
      <c r="H136" s="67"/>
      <c r="I136" s="51">
        <v>231</v>
      </c>
      <c r="J136" s="49">
        <v>139</v>
      </c>
      <c r="K136" s="49">
        <v>92</v>
      </c>
      <c r="L136" s="49"/>
      <c r="M136" s="49"/>
      <c r="N136" s="49" t="s">
        <v>441</v>
      </c>
      <c r="O136" s="18"/>
      <c r="P136" s="19"/>
      <c r="Q136" s="18"/>
      <c r="R136" s="18"/>
      <c r="S136" s="18"/>
    </row>
    <row r="137" spans="1:35" ht="25.5" x14ac:dyDescent="0.2">
      <c r="A137" s="72" t="s">
        <v>107</v>
      </c>
      <c r="B137" s="67"/>
      <c r="C137" s="67"/>
      <c r="D137" s="67"/>
      <c r="E137" s="67"/>
      <c r="F137" s="67"/>
      <c r="G137" s="67"/>
      <c r="H137" s="67"/>
      <c r="I137" s="51">
        <v>80402</v>
      </c>
      <c r="J137" s="49">
        <v>17948</v>
      </c>
      <c r="K137" s="49" t="s">
        <v>442</v>
      </c>
      <c r="L137" s="49">
        <v>58500</v>
      </c>
      <c r="M137" s="49"/>
      <c r="N137" s="49" t="s">
        <v>439</v>
      </c>
      <c r="O137" s="18"/>
      <c r="P137" s="19"/>
      <c r="Q137" s="18"/>
      <c r="R137" s="18"/>
      <c r="S137" s="18"/>
    </row>
    <row r="138" spans="1:35" x14ac:dyDescent="0.2">
      <c r="A138" s="72" t="s">
        <v>109</v>
      </c>
      <c r="B138" s="67"/>
      <c r="C138" s="67"/>
      <c r="D138" s="67"/>
      <c r="E138" s="67"/>
      <c r="F138" s="67"/>
      <c r="G138" s="67"/>
      <c r="H138" s="67"/>
      <c r="I138" s="51">
        <v>14096</v>
      </c>
      <c r="J138" s="49"/>
      <c r="K138" s="49"/>
      <c r="L138" s="49"/>
      <c r="M138" s="49"/>
      <c r="N138" s="49"/>
      <c r="O138" s="18"/>
      <c r="P138" s="19"/>
      <c r="Q138" s="18"/>
      <c r="R138" s="18"/>
      <c r="S138" s="18"/>
    </row>
    <row r="139" spans="1:35" x14ac:dyDescent="0.2">
      <c r="A139" s="72" t="s">
        <v>110</v>
      </c>
      <c r="B139" s="67"/>
      <c r="C139" s="67"/>
      <c r="D139" s="67"/>
      <c r="E139" s="67"/>
      <c r="F139" s="67"/>
      <c r="G139" s="67"/>
      <c r="H139" s="67"/>
      <c r="I139" s="51">
        <v>8966</v>
      </c>
      <c r="J139" s="49"/>
      <c r="K139" s="49"/>
      <c r="L139" s="49"/>
      <c r="M139" s="49"/>
      <c r="N139" s="49"/>
      <c r="O139" s="18"/>
      <c r="P139" s="19"/>
      <c r="Q139" s="18"/>
      <c r="R139" s="18"/>
      <c r="S139" s="18"/>
    </row>
    <row r="140" spans="1:35" ht="25.5" x14ac:dyDescent="0.2">
      <c r="A140" s="73" t="s">
        <v>443</v>
      </c>
      <c r="B140" s="74"/>
      <c r="C140" s="74"/>
      <c r="D140" s="74"/>
      <c r="E140" s="74"/>
      <c r="F140" s="74"/>
      <c r="G140" s="74"/>
      <c r="H140" s="74"/>
      <c r="I140" s="61">
        <v>103464</v>
      </c>
      <c r="J140" s="62"/>
      <c r="K140" s="62"/>
      <c r="L140" s="62"/>
      <c r="M140" s="62"/>
      <c r="N140" s="62" t="s">
        <v>439</v>
      </c>
      <c r="O140" s="18"/>
      <c r="P140" s="19"/>
      <c r="Q140" s="18"/>
      <c r="R140" s="18"/>
      <c r="S140" s="18"/>
    </row>
    <row r="141" spans="1:35" ht="21" customHeight="1" x14ac:dyDescent="0.2">
      <c r="A141" s="70" t="s">
        <v>444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</row>
    <row r="142" spans="1:35" ht="127.5" x14ac:dyDescent="0.2">
      <c r="A142" s="46">
        <v>89</v>
      </c>
      <c r="B142" s="47" t="s">
        <v>445</v>
      </c>
      <c r="C142" s="48" t="str">
        <f t="shared" ref="C142:C153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Прокладка трубопроводов канализации из полиэтиленовых труб высокой плотности диаметром: 110 мм
100 м трубопровода
2965 руб. НР 98%=128%*(0,85*0,9) от ФОТ (3025 руб.)
1694 руб.СП 56%=83%*(0,8*0,85) от ФОТ (3025 руб.)
</v>
      </c>
      <c r="D142" s="46" t="s">
        <v>446</v>
      </c>
      <c r="E142" s="49" t="s">
        <v>447</v>
      </c>
      <c r="F142" s="49" t="s">
        <v>448</v>
      </c>
      <c r="G142" s="49">
        <v>7166.84</v>
      </c>
      <c r="H142" s="50" t="s">
        <v>89</v>
      </c>
      <c r="I142" s="51">
        <v>8799</v>
      </c>
      <c r="J142" s="49">
        <v>3025</v>
      </c>
      <c r="K142" s="49">
        <v>35</v>
      </c>
      <c r="L142" s="49" t="str">
        <f>IF(0.255*7166.84=0," ",TEXT(,ROUND((0.255*7166.84*3.14),2)))</f>
        <v>5738.49</v>
      </c>
      <c r="M142" s="49" t="s">
        <v>449</v>
      </c>
      <c r="N142" s="49" t="s">
        <v>450</v>
      </c>
      <c r="O142" s="52"/>
      <c r="P142" s="52"/>
      <c r="Q142" s="52"/>
      <c r="R142" s="52"/>
      <c r="S142" s="52"/>
      <c r="T142" s="53"/>
      <c r="U142" s="53"/>
      <c r="V142" s="53"/>
      <c r="W142" s="53"/>
      <c r="X142" s="53"/>
      <c r="Y142" s="53"/>
      <c r="Z142" s="53"/>
      <c r="AA142" s="53" t="s">
        <v>91</v>
      </c>
      <c r="AB142" s="53" t="s">
        <v>92</v>
      </c>
      <c r="AC142" s="53">
        <v>2965</v>
      </c>
      <c r="AD142" s="53">
        <v>1694</v>
      </c>
      <c r="AE142" s="53"/>
      <c r="AF142" s="53" t="s">
        <v>451</v>
      </c>
      <c r="AG142" s="53" t="s">
        <v>95</v>
      </c>
      <c r="AH142" s="53"/>
      <c r="AI142" s="53">
        <f>3025+0</f>
        <v>3025</v>
      </c>
    </row>
    <row r="143" spans="1:35" ht="114.75" x14ac:dyDescent="0.2">
      <c r="A143" s="46">
        <v>90</v>
      </c>
      <c r="B143" s="47" t="s">
        <v>452</v>
      </c>
      <c r="C143" s="48" t="str">
        <f t="shared" ca="1" si="4"/>
        <v xml:space="preserve">Установка пароизоляционного слоя из: пленки полиэтиленовой (без стекловолокнистых материалов)
100 м2 поверхности покрытия изоляции
130 руб. НР 77%=100%*(0,85*0,9) от ФОТ (169 руб.)
81 руб.СП 48%=70%*(0,8*0,85) от ФОТ (169 руб.)
</v>
      </c>
      <c r="D143" s="46" t="s">
        <v>453</v>
      </c>
      <c r="E143" s="49" t="s">
        <v>454</v>
      </c>
      <c r="F143" s="49">
        <v>21.79</v>
      </c>
      <c r="G143" s="49">
        <v>1385.68</v>
      </c>
      <c r="H143" s="50" t="s">
        <v>455</v>
      </c>
      <c r="I143" s="51">
        <v>452</v>
      </c>
      <c r="J143" s="49">
        <v>169</v>
      </c>
      <c r="K143" s="49">
        <v>35</v>
      </c>
      <c r="L143" s="49" t="str">
        <f>IF(0.072*1385.68=0," ",TEXT(,ROUND((0.072*1385.68*2.49),2)))</f>
        <v>248.42</v>
      </c>
      <c r="M143" s="49">
        <v>14.36</v>
      </c>
      <c r="N143" s="49">
        <v>1.03</v>
      </c>
      <c r="O143" s="52"/>
      <c r="P143" s="52"/>
      <c r="Q143" s="52"/>
      <c r="R143" s="52"/>
      <c r="S143" s="52"/>
      <c r="T143" s="53"/>
      <c r="U143" s="53"/>
      <c r="V143" s="53"/>
      <c r="W143" s="53"/>
      <c r="X143" s="53"/>
      <c r="Y143" s="53"/>
      <c r="Z143" s="53"/>
      <c r="AA143" s="53" t="s">
        <v>414</v>
      </c>
      <c r="AB143" s="53" t="s">
        <v>34</v>
      </c>
      <c r="AC143" s="53">
        <v>130</v>
      </c>
      <c r="AD143" s="53">
        <v>81</v>
      </c>
      <c r="AE143" s="53"/>
      <c r="AF143" s="53" t="s">
        <v>456</v>
      </c>
      <c r="AG143" s="53" t="s">
        <v>417</v>
      </c>
      <c r="AH143" s="53"/>
      <c r="AI143" s="53">
        <f>169+0</f>
        <v>169</v>
      </c>
    </row>
    <row r="144" spans="1:35" ht="63.75" x14ac:dyDescent="0.2">
      <c r="A144" s="46">
        <v>91</v>
      </c>
      <c r="B144" s="47" t="s">
        <v>457</v>
      </c>
      <c r="C144" s="48" t="str">
        <f t="shared" ca="1" si="4"/>
        <v xml:space="preserve">Пленка полиэтиленовая толщиной: 0,2-0,5 мм, изоловая
м2
</v>
      </c>
      <c r="D144" s="46">
        <v>-8.2799999999999994</v>
      </c>
      <c r="E144" s="49">
        <v>4.82</v>
      </c>
      <c r="F144" s="49"/>
      <c r="G144" s="49">
        <v>4.82</v>
      </c>
      <c r="H144" s="50" t="s">
        <v>458</v>
      </c>
      <c r="I144" s="51">
        <v>-49</v>
      </c>
      <c r="J144" s="49"/>
      <c r="K144" s="49"/>
      <c r="L144" s="49" t="str">
        <f>IF(-8.28*4.82=0," ",TEXT(,ROUND((-8.28*4.82*1.222),2)))</f>
        <v>-48.77</v>
      </c>
      <c r="M144" s="49"/>
      <c r="N144" s="49"/>
      <c r="O144" s="52"/>
      <c r="P144" s="52"/>
      <c r="Q144" s="52"/>
      <c r="R144" s="52"/>
      <c r="S144" s="52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 t="s">
        <v>459</v>
      </c>
      <c r="AG144" s="53" t="s">
        <v>139</v>
      </c>
      <c r="AH144" s="53"/>
      <c r="AI144" s="53">
        <f>0+0</f>
        <v>0</v>
      </c>
    </row>
    <row r="145" spans="1:35" ht="63.75" x14ac:dyDescent="0.2">
      <c r="A145" s="46">
        <v>92</v>
      </c>
      <c r="B145" s="47" t="s">
        <v>418</v>
      </c>
      <c r="C145" s="48" t="str">
        <f t="shared" ca="1" si="4"/>
        <v xml:space="preserve">Изоспан: Двухслойная паропроницаемая мембрана марки В 14,62/5,56=2,63
м2
</v>
      </c>
      <c r="D145" s="46">
        <v>7.92</v>
      </c>
      <c r="E145" s="49">
        <v>2.63</v>
      </c>
      <c r="F145" s="49"/>
      <c r="G145" s="49">
        <v>2.63</v>
      </c>
      <c r="H145" s="50" t="s">
        <v>141</v>
      </c>
      <c r="I145" s="51">
        <v>117</v>
      </c>
      <c r="J145" s="49"/>
      <c r="K145" s="49"/>
      <c r="L145" s="49" t="str">
        <f>IF(7.92*2.63=0," ",TEXT(,ROUND((7.92*2.63*5.56),2)))</f>
        <v>115.81</v>
      </c>
      <c r="M145" s="49"/>
      <c r="N145" s="49"/>
      <c r="O145" s="52"/>
      <c r="P145" s="52"/>
      <c r="Q145" s="52"/>
      <c r="R145" s="52"/>
      <c r="S145" s="52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 t="s">
        <v>142</v>
      </c>
      <c r="AG145" s="53" t="s">
        <v>139</v>
      </c>
      <c r="AH145" s="53"/>
      <c r="AI145" s="53">
        <f>0+0</f>
        <v>0</v>
      </c>
    </row>
    <row r="146" spans="1:35" ht="63.75" x14ac:dyDescent="0.2">
      <c r="A146" s="46">
        <v>93</v>
      </c>
      <c r="B146" s="47" t="s">
        <v>460</v>
      </c>
      <c r="C146" s="48" t="str">
        <f t="shared" ca="1" si="4"/>
        <v xml:space="preserve">Утеплитель URSA: М 15, толщиной 50 мм 94,37/5,56=16,97
м2
</v>
      </c>
      <c r="D146" s="46" t="s">
        <v>461</v>
      </c>
      <c r="E146" s="49">
        <v>16.97</v>
      </c>
      <c r="F146" s="49"/>
      <c r="G146" s="49">
        <v>16.97</v>
      </c>
      <c r="H146" s="50" t="s">
        <v>141</v>
      </c>
      <c r="I146" s="51">
        <v>4081</v>
      </c>
      <c r="J146" s="49"/>
      <c r="K146" s="49"/>
      <c r="L146" s="49" t="str">
        <f>IF(43.26*16.97=0," ",TEXT(,ROUND((43.26*16.97*5.56),2)))</f>
        <v>4081.72</v>
      </c>
      <c r="M146" s="49"/>
      <c r="N146" s="49"/>
      <c r="O146" s="52"/>
      <c r="P146" s="52"/>
      <c r="Q146" s="52"/>
      <c r="R146" s="52"/>
      <c r="S146" s="52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 t="s">
        <v>462</v>
      </c>
      <c r="AG146" s="53" t="s">
        <v>139</v>
      </c>
      <c r="AH146" s="53"/>
      <c r="AI146" s="53">
        <f>0+0</f>
        <v>0</v>
      </c>
    </row>
    <row r="147" spans="1:35" ht="127.5" x14ac:dyDescent="0.2">
      <c r="A147" s="46">
        <v>94</v>
      </c>
      <c r="B147" s="47" t="s">
        <v>411</v>
      </c>
      <c r="C147" s="48" t="str">
        <f t="shared" ca="1" si="4"/>
        <v xml:space="preserve">Обертывание поверхности изоляции рулонными материалами насухо с проклейкой швов
100 м2 поверхности покрытия изоляции
(материалы МАТ=0 к расх.)
872 руб. НР 77%=100%*(0,85*0,9) от ФОТ (1132 руб.)
543 руб.СП 48%=70%*(0,8*0,85) от ФОТ (1132 руб.)
</v>
      </c>
      <c r="D147" s="46">
        <v>0.21</v>
      </c>
      <c r="E147" s="49" t="s">
        <v>412</v>
      </c>
      <c r="F147" s="49">
        <v>50.59</v>
      </c>
      <c r="G147" s="49"/>
      <c r="H147" s="50" t="s">
        <v>413</v>
      </c>
      <c r="I147" s="51">
        <v>1282</v>
      </c>
      <c r="J147" s="49">
        <v>1132</v>
      </c>
      <c r="K147" s="49">
        <v>150</v>
      </c>
      <c r="L147" s="49" t="str">
        <f>IF(0.21*0=0," ",TEXT(,ROUND((0.21*0*9.72),2)))</f>
        <v xml:space="preserve"> </v>
      </c>
      <c r="M147" s="49">
        <v>31.98</v>
      </c>
      <c r="N147" s="49">
        <v>6.72</v>
      </c>
      <c r="O147" s="52"/>
      <c r="P147" s="52"/>
      <c r="Q147" s="52"/>
      <c r="R147" s="52"/>
      <c r="S147" s="52"/>
      <c r="T147" s="53"/>
      <c r="U147" s="53"/>
      <c r="V147" s="53"/>
      <c r="W147" s="53"/>
      <c r="X147" s="53"/>
      <c r="Y147" s="53"/>
      <c r="Z147" s="53"/>
      <c r="AA147" s="53" t="s">
        <v>414</v>
      </c>
      <c r="AB147" s="53" t="s">
        <v>34</v>
      </c>
      <c r="AC147" s="53">
        <v>872</v>
      </c>
      <c r="AD147" s="53">
        <v>543</v>
      </c>
      <c r="AE147" s="53" t="s">
        <v>415</v>
      </c>
      <c r="AF147" s="53" t="s">
        <v>416</v>
      </c>
      <c r="AG147" s="53" t="s">
        <v>417</v>
      </c>
      <c r="AH147" s="53"/>
      <c r="AI147" s="53">
        <f>1132+0</f>
        <v>1132</v>
      </c>
    </row>
    <row r="148" spans="1:35" ht="63.75" x14ac:dyDescent="0.2">
      <c r="A148" s="46">
        <v>95</v>
      </c>
      <c r="B148" s="47" t="s">
        <v>460</v>
      </c>
      <c r="C148" s="48" t="str">
        <f t="shared" ca="1" si="4"/>
        <v xml:space="preserve">Утеплитель URSA: М 15, толщиной 50 мм 94,37/5,56=16,97
м2
</v>
      </c>
      <c r="D148" s="46" t="s">
        <v>461</v>
      </c>
      <c r="E148" s="49">
        <v>16.97</v>
      </c>
      <c r="F148" s="49"/>
      <c r="G148" s="49">
        <v>16.97</v>
      </c>
      <c r="H148" s="50" t="s">
        <v>141</v>
      </c>
      <c r="I148" s="51">
        <v>4081</v>
      </c>
      <c r="J148" s="49"/>
      <c r="K148" s="49"/>
      <c r="L148" s="49" t="str">
        <f>IF(43.26*16.97=0," ",TEXT(,ROUND((43.26*16.97*5.56),2)))</f>
        <v>4081.72</v>
      </c>
      <c r="M148" s="49"/>
      <c r="N148" s="49"/>
      <c r="O148" s="52"/>
      <c r="P148" s="52"/>
      <c r="Q148" s="52"/>
      <c r="R148" s="52"/>
      <c r="S148" s="52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 t="s">
        <v>462</v>
      </c>
      <c r="AG148" s="53" t="s">
        <v>139</v>
      </c>
      <c r="AH148" s="53"/>
      <c r="AI148" s="53">
        <f>0+0</f>
        <v>0</v>
      </c>
    </row>
    <row r="149" spans="1:35" ht="153" x14ac:dyDescent="0.2">
      <c r="A149" s="46">
        <v>96</v>
      </c>
      <c r="B149" s="47" t="s">
        <v>463</v>
      </c>
      <c r="C149" s="48" t="str">
        <f t="shared" ca="1" si="4"/>
        <v xml:space="preserve">Обертывание поверхности изоляции рулонными материалами насухо с проклейкой швов
100 м2 поверхности покрытия изоляции
(В 2 слоя ПЗ=2 (ОЗП=2; ЭМ=2 к расх.; ЗПМ=2; МАТ=2 к расх.; ТЗ=2; ТЗМ=2);
материалы МАТ=0 к расх.)
1562 руб. НР 77%=100%*(0,85*0,9) от ФОТ (2028 руб.)
973 руб.СП 48%=70%*(0,8*0,85) от ФОТ (2028 руб.)
</v>
      </c>
      <c r="D149" s="46">
        <v>0.189</v>
      </c>
      <c r="E149" s="49" t="s">
        <v>464</v>
      </c>
      <c r="F149" s="49">
        <v>101.18</v>
      </c>
      <c r="G149" s="49"/>
      <c r="H149" s="50" t="s">
        <v>413</v>
      </c>
      <c r="I149" s="51">
        <v>2286</v>
      </c>
      <c r="J149" s="49">
        <v>2028</v>
      </c>
      <c r="K149" s="49">
        <v>258</v>
      </c>
      <c r="L149" s="49" t="str">
        <f>IF(0.189*0=0," ",TEXT(,ROUND((0.189*0*9.72),2)))</f>
        <v xml:space="preserve"> </v>
      </c>
      <c r="M149" s="49">
        <v>63.96</v>
      </c>
      <c r="N149" s="49">
        <v>12.09</v>
      </c>
      <c r="O149" s="52"/>
      <c r="P149" s="52"/>
      <c r="Q149" s="52"/>
      <c r="R149" s="52"/>
      <c r="S149" s="52"/>
      <c r="T149" s="53"/>
      <c r="U149" s="53"/>
      <c r="V149" s="53"/>
      <c r="W149" s="53"/>
      <c r="X149" s="53"/>
      <c r="Y149" s="53"/>
      <c r="Z149" s="53"/>
      <c r="AA149" s="53" t="s">
        <v>414</v>
      </c>
      <c r="AB149" s="53" t="s">
        <v>34</v>
      </c>
      <c r="AC149" s="53">
        <v>1562</v>
      </c>
      <c r="AD149" s="53">
        <v>973</v>
      </c>
      <c r="AE149" s="63" t="s">
        <v>465</v>
      </c>
      <c r="AF149" s="53" t="s">
        <v>416</v>
      </c>
      <c r="AG149" s="53" t="s">
        <v>417</v>
      </c>
      <c r="AH149" s="53"/>
      <c r="AI149" s="53">
        <f>2028+0</f>
        <v>2028</v>
      </c>
    </row>
    <row r="150" spans="1:35" ht="51" x14ac:dyDescent="0.2">
      <c r="A150" s="46">
        <v>97</v>
      </c>
      <c r="B150" s="47" t="s">
        <v>466</v>
      </c>
      <c r="C150" s="48" t="str">
        <f t="shared" ca="1" si="4"/>
        <v xml:space="preserve">Ткань стеклянная конструкционная марки: Т-13
1000 м2
</v>
      </c>
      <c r="D150" s="46" t="s">
        <v>467</v>
      </c>
      <c r="E150" s="49">
        <v>15914</v>
      </c>
      <c r="F150" s="49"/>
      <c r="G150" s="49">
        <v>15914</v>
      </c>
      <c r="H150" s="50" t="s">
        <v>468</v>
      </c>
      <c r="I150" s="51">
        <v>1467</v>
      </c>
      <c r="J150" s="49"/>
      <c r="K150" s="49"/>
      <c r="L150" s="49" t="str">
        <f>IF(0.04158*15914=0," ",TEXT(,ROUND((0.04158*15914*2.216),2)))</f>
        <v>1466.34</v>
      </c>
      <c r="M150" s="49"/>
      <c r="N150" s="49"/>
      <c r="O150" s="52"/>
      <c r="P150" s="52"/>
      <c r="Q150" s="52"/>
      <c r="R150" s="52"/>
      <c r="S150" s="52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 t="s">
        <v>469</v>
      </c>
      <c r="AG150" s="53" t="s">
        <v>470</v>
      </c>
      <c r="AH150" s="53"/>
      <c r="AI150" s="53">
        <f>0+0</f>
        <v>0</v>
      </c>
    </row>
    <row r="151" spans="1:35" ht="127.5" x14ac:dyDescent="0.2">
      <c r="A151" s="46">
        <v>98</v>
      </c>
      <c r="B151" s="47" t="s">
        <v>421</v>
      </c>
      <c r="C151" s="48" t="str">
        <f t="shared" ca="1" si="4"/>
        <v xml:space="preserve">Покрытие изоляции плоских (криволинейных) поверхностей листовым металлом с заготовкой покрытия
100 м2 поверхности покрытия изоляции
5908 руб. НР 77%=100%*(0,85*0,9) от ФОТ (7673 руб.)
3683 руб.СП 48%=70%*(0,8*0,85) от ФОТ (7673 руб.)
</v>
      </c>
      <c r="D151" s="46">
        <v>0.312</v>
      </c>
      <c r="E151" s="49" t="s">
        <v>422</v>
      </c>
      <c r="F151" s="49">
        <v>578.44000000000005</v>
      </c>
      <c r="G151" s="49">
        <v>8515.41</v>
      </c>
      <c r="H151" s="50" t="s">
        <v>423</v>
      </c>
      <c r="I151" s="51">
        <v>19524</v>
      </c>
      <c r="J151" s="49">
        <v>7673</v>
      </c>
      <c r="K151" s="49">
        <v>1834</v>
      </c>
      <c r="L151" s="49" t="str">
        <f>IF(0.312*8515.41=0," ",TEXT(,ROUND((0.312*8515.41*3.77),2)))</f>
        <v>10016.17</v>
      </c>
      <c r="M151" s="49">
        <v>139.55000000000001</v>
      </c>
      <c r="N151" s="49">
        <v>43.54</v>
      </c>
      <c r="O151" s="52"/>
      <c r="P151" s="52"/>
      <c r="Q151" s="52"/>
      <c r="R151" s="52"/>
      <c r="S151" s="52"/>
      <c r="T151" s="53"/>
      <c r="U151" s="53"/>
      <c r="V151" s="53"/>
      <c r="W151" s="53"/>
      <c r="X151" s="53"/>
      <c r="Y151" s="53"/>
      <c r="Z151" s="53"/>
      <c r="AA151" s="53" t="s">
        <v>414</v>
      </c>
      <c r="AB151" s="53" t="s">
        <v>34</v>
      </c>
      <c r="AC151" s="53">
        <v>5908</v>
      </c>
      <c r="AD151" s="53">
        <v>3683</v>
      </c>
      <c r="AE151" s="53"/>
      <c r="AF151" s="53" t="s">
        <v>424</v>
      </c>
      <c r="AG151" s="53" t="s">
        <v>417</v>
      </c>
      <c r="AH151" s="53"/>
      <c r="AI151" s="53">
        <f>7673+0</f>
        <v>7673</v>
      </c>
    </row>
    <row r="152" spans="1:35" ht="63.75" x14ac:dyDescent="0.2">
      <c r="A152" s="46">
        <v>99</v>
      </c>
      <c r="B152" s="47" t="s">
        <v>425</v>
      </c>
      <c r="C152" s="48" t="str">
        <f t="shared" ca="1" si="4"/>
        <v xml:space="preserve">Сталь листовая оцинкованная толщиной листа: 0,8 мм
т
</v>
      </c>
      <c r="D152" s="46">
        <v>-0.2399</v>
      </c>
      <c r="E152" s="49">
        <v>11000</v>
      </c>
      <c r="F152" s="49"/>
      <c r="G152" s="49">
        <v>11000</v>
      </c>
      <c r="H152" s="50" t="s">
        <v>426</v>
      </c>
      <c r="I152" s="51">
        <v>-9965</v>
      </c>
      <c r="J152" s="49"/>
      <c r="K152" s="49"/>
      <c r="L152" s="49" t="str">
        <f>IF(-0.2399*11000=0," ",TEXT(,ROUND((-0.2399*11000*3.776),2)))</f>
        <v>-9964.49</v>
      </c>
      <c r="M152" s="49"/>
      <c r="N152" s="49"/>
      <c r="O152" s="52"/>
      <c r="P152" s="52"/>
      <c r="Q152" s="52"/>
      <c r="R152" s="52"/>
      <c r="S152" s="52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 t="s">
        <v>427</v>
      </c>
      <c r="AG152" s="53" t="s">
        <v>163</v>
      </c>
      <c r="AH152" s="53"/>
      <c r="AI152" s="53">
        <f>0+0</f>
        <v>0</v>
      </c>
    </row>
    <row r="153" spans="1:35" ht="63.75" x14ac:dyDescent="0.2">
      <c r="A153" s="55">
        <v>100</v>
      </c>
      <c r="B153" s="56" t="s">
        <v>325</v>
      </c>
      <c r="C153" s="57" t="str">
        <f t="shared" ca="1" si="4"/>
        <v xml:space="preserve">Сталь листовая оцинкованная толщиной листа: 0,55 мм
т
</v>
      </c>
      <c r="D153" s="55">
        <v>0.16500000000000001</v>
      </c>
      <c r="E153" s="58">
        <v>10484</v>
      </c>
      <c r="F153" s="58"/>
      <c r="G153" s="58">
        <v>10484</v>
      </c>
      <c r="H153" s="59" t="s">
        <v>326</v>
      </c>
      <c r="I153" s="60">
        <v>6908</v>
      </c>
      <c r="J153" s="58"/>
      <c r="K153" s="58"/>
      <c r="L153" s="58" t="str">
        <f>IF(0.165*10484=0," ",TEXT(,ROUND((0.165*10484*3.993),2)))</f>
        <v>6907.33</v>
      </c>
      <c r="M153" s="58"/>
      <c r="N153" s="58"/>
      <c r="O153" s="52"/>
      <c r="P153" s="52"/>
      <c r="Q153" s="52"/>
      <c r="R153" s="52"/>
      <c r="S153" s="52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 t="s">
        <v>327</v>
      </c>
      <c r="AG153" s="53" t="s">
        <v>163</v>
      </c>
      <c r="AH153" s="53"/>
      <c r="AI153" s="53">
        <f>0+0</f>
        <v>0</v>
      </c>
    </row>
    <row r="154" spans="1:35" ht="25.5" x14ac:dyDescent="0.2">
      <c r="A154" s="72" t="s">
        <v>104</v>
      </c>
      <c r="B154" s="67"/>
      <c r="C154" s="67"/>
      <c r="D154" s="67"/>
      <c r="E154" s="67"/>
      <c r="F154" s="67"/>
      <c r="G154" s="67"/>
      <c r="H154" s="67"/>
      <c r="I154" s="51">
        <v>6722</v>
      </c>
      <c r="J154" s="49">
        <v>722</v>
      </c>
      <c r="K154" s="49">
        <v>214</v>
      </c>
      <c r="L154" s="49">
        <v>5787</v>
      </c>
      <c r="M154" s="49"/>
      <c r="N154" s="49" t="s">
        <v>471</v>
      </c>
      <c r="O154" s="18"/>
      <c r="P154" s="19"/>
      <c r="Q154" s="18"/>
      <c r="R154" s="18"/>
      <c r="S154" s="18"/>
    </row>
    <row r="155" spans="1:35" ht="25.5" x14ac:dyDescent="0.2">
      <c r="A155" s="72" t="s">
        <v>234</v>
      </c>
      <c r="B155" s="67"/>
      <c r="C155" s="67"/>
      <c r="D155" s="67"/>
      <c r="E155" s="67"/>
      <c r="F155" s="67"/>
      <c r="G155" s="67"/>
      <c r="H155" s="67"/>
      <c r="I155" s="51">
        <v>6884</v>
      </c>
      <c r="J155" s="49">
        <v>829</v>
      </c>
      <c r="K155" s="49">
        <v>269</v>
      </c>
      <c r="L155" s="49">
        <v>5787</v>
      </c>
      <c r="M155" s="49"/>
      <c r="N155" s="49" t="s">
        <v>472</v>
      </c>
      <c r="O155" s="18"/>
      <c r="P155" s="19"/>
      <c r="Q155" s="18"/>
      <c r="R155" s="18"/>
      <c r="S155" s="18"/>
    </row>
    <row r="156" spans="1:35" x14ac:dyDescent="0.2">
      <c r="A156" s="72" t="s">
        <v>237</v>
      </c>
      <c r="B156" s="67"/>
      <c r="C156" s="67"/>
      <c r="D156" s="67"/>
      <c r="E156" s="67"/>
      <c r="F156" s="67"/>
      <c r="G156" s="67"/>
      <c r="H156" s="67"/>
      <c r="I156" s="51"/>
      <c r="J156" s="49"/>
      <c r="K156" s="49"/>
      <c r="L156" s="49"/>
      <c r="M156" s="49"/>
      <c r="N156" s="49"/>
      <c r="O156" s="18"/>
      <c r="P156" s="19"/>
      <c r="Q156" s="18"/>
      <c r="R156" s="18"/>
      <c r="S156" s="18"/>
    </row>
    <row r="157" spans="1:35" ht="27.95" customHeight="1" x14ac:dyDescent="0.2">
      <c r="A157" s="72" t="s">
        <v>473</v>
      </c>
      <c r="B157" s="67"/>
      <c r="C157" s="67"/>
      <c r="D157" s="67"/>
      <c r="E157" s="67"/>
      <c r="F157" s="67"/>
      <c r="G157" s="67"/>
      <c r="H157" s="67"/>
      <c r="I157" s="51">
        <v>162</v>
      </c>
      <c r="J157" s="49">
        <v>108</v>
      </c>
      <c r="K157" s="49">
        <v>54</v>
      </c>
      <c r="L157" s="49"/>
      <c r="M157" s="49"/>
      <c r="N157" s="49" t="s">
        <v>474</v>
      </c>
      <c r="O157" s="18"/>
      <c r="P157" s="19"/>
      <c r="Q157" s="18"/>
      <c r="R157" s="18"/>
      <c r="S157" s="18"/>
    </row>
    <row r="158" spans="1:35" ht="25.5" x14ac:dyDescent="0.2">
      <c r="A158" s="72" t="s">
        <v>107</v>
      </c>
      <c r="B158" s="67"/>
      <c r="C158" s="67"/>
      <c r="D158" s="67"/>
      <c r="E158" s="67"/>
      <c r="F158" s="67"/>
      <c r="G158" s="67"/>
      <c r="H158" s="67"/>
      <c r="I158" s="51">
        <v>38967</v>
      </c>
      <c r="J158" s="49">
        <v>14010</v>
      </c>
      <c r="K158" s="49">
        <v>2312</v>
      </c>
      <c r="L158" s="49">
        <v>22646</v>
      </c>
      <c r="M158" s="49"/>
      <c r="N158" s="49" t="s">
        <v>472</v>
      </c>
      <c r="O158" s="18"/>
      <c r="P158" s="19"/>
      <c r="Q158" s="18"/>
      <c r="R158" s="18"/>
      <c r="S158" s="18"/>
    </row>
    <row r="159" spans="1:35" x14ac:dyDescent="0.2">
      <c r="A159" s="72" t="s">
        <v>109</v>
      </c>
      <c r="B159" s="67"/>
      <c r="C159" s="67"/>
      <c r="D159" s="67"/>
      <c r="E159" s="67"/>
      <c r="F159" s="67"/>
      <c r="G159" s="67"/>
      <c r="H159" s="67"/>
      <c r="I159" s="51">
        <v>11423</v>
      </c>
      <c r="J159" s="49"/>
      <c r="K159" s="49"/>
      <c r="L159" s="49"/>
      <c r="M159" s="49"/>
      <c r="N159" s="49"/>
      <c r="O159" s="18"/>
      <c r="P159" s="19"/>
      <c r="Q159" s="18"/>
      <c r="R159" s="18"/>
      <c r="S159" s="18"/>
    </row>
    <row r="160" spans="1:35" x14ac:dyDescent="0.2">
      <c r="A160" s="72" t="s">
        <v>110</v>
      </c>
      <c r="B160" s="67"/>
      <c r="C160" s="67"/>
      <c r="D160" s="67"/>
      <c r="E160" s="67"/>
      <c r="F160" s="67"/>
      <c r="G160" s="67"/>
      <c r="H160" s="67"/>
      <c r="I160" s="51">
        <v>6967</v>
      </c>
      <c r="J160" s="49"/>
      <c r="K160" s="49"/>
      <c r="L160" s="49"/>
      <c r="M160" s="49"/>
      <c r="N160" s="49"/>
      <c r="O160" s="18"/>
      <c r="P160" s="19"/>
      <c r="Q160" s="18"/>
      <c r="R160" s="18"/>
      <c r="S160" s="18"/>
    </row>
    <row r="161" spans="1:35" ht="25.5" x14ac:dyDescent="0.2">
      <c r="A161" s="73" t="s">
        <v>475</v>
      </c>
      <c r="B161" s="74"/>
      <c r="C161" s="74"/>
      <c r="D161" s="74"/>
      <c r="E161" s="74"/>
      <c r="F161" s="74"/>
      <c r="G161" s="74"/>
      <c r="H161" s="74"/>
      <c r="I161" s="61">
        <v>57357</v>
      </c>
      <c r="J161" s="62"/>
      <c r="K161" s="62"/>
      <c r="L161" s="62"/>
      <c r="M161" s="62"/>
      <c r="N161" s="62" t="s">
        <v>472</v>
      </c>
      <c r="O161" s="18"/>
      <c r="P161" s="19"/>
      <c r="Q161" s="18"/>
      <c r="R161" s="18"/>
      <c r="S161" s="18"/>
    </row>
    <row r="162" spans="1:35" ht="21" customHeight="1" x14ac:dyDescent="0.2">
      <c r="A162" s="70" t="s">
        <v>476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</row>
    <row r="163" spans="1:35" ht="102" x14ac:dyDescent="0.2">
      <c r="A163" s="46">
        <v>101</v>
      </c>
      <c r="B163" s="47" t="s">
        <v>477</v>
      </c>
      <c r="C163" s="48" t="str">
        <f t="shared" ref="C163:C174" ca="1" si="5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Проводник заземляющий открыто по строительным основаниям: из круглой стали диаметром 8 мм
100 м
4408 руб. НР 81%=95%*0,85 от ФОТ (5442 руб.)
2830 руб.СП 52%=65%*0,8 от ФОТ (5442 руб.)
</v>
      </c>
      <c r="D163" s="46">
        <v>1.69</v>
      </c>
      <c r="E163" s="49" t="s">
        <v>478</v>
      </c>
      <c r="F163" s="49" t="s">
        <v>479</v>
      </c>
      <c r="G163" s="49">
        <v>301.01</v>
      </c>
      <c r="H163" s="50" t="s">
        <v>480</v>
      </c>
      <c r="I163" s="51">
        <v>7923</v>
      </c>
      <c r="J163" s="49">
        <v>5391</v>
      </c>
      <c r="K163" s="49" t="s">
        <v>481</v>
      </c>
      <c r="L163" s="49" t="str">
        <f>IF(1.69*301.01=0," ",TEXT(,ROUND((1.69*301.01*3.52),2)))</f>
        <v>1790.65</v>
      </c>
      <c r="M163" s="49" t="s">
        <v>482</v>
      </c>
      <c r="N163" s="49" t="s">
        <v>483</v>
      </c>
      <c r="O163" s="52"/>
      <c r="P163" s="52"/>
      <c r="Q163" s="52"/>
      <c r="R163" s="52"/>
      <c r="S163" s="52"/>
      <c r="T163" s="53"/>
      <c r="U163" s="53"/>
      <c r="V163" s="53"/>
      <c r="W163" s="53"/>
      <c r="X163" s="53"/>
      <c r="Y163" s="53"/>
      <c r="Z163" s="53"/>
      <c r="AA163" s="53" t="s">
        <v>484</v>
      </c>
      <c r="AB163" s="53" t="s">
        <v>44</v>
      </c>
      <c r="AC163" s="53">
        <v>4408</v>
      </c>
      <c r="AD163" s="53">
        <v>2830</v>
      </c>
      <c r="AE163" s="53"/>
      <c r="AF163" s="53" t="s">
        <v>485</v>
      </c>
      <c r="AG163" s="53" t="s">
        <v>486</v>
      </c>
      <c r="AH163" s="53"/>
      <c r="AI163" s="53">
        <f>5391+51</f>
        <v>5442</v>
      </c>
    </row>
    <row r="164" spans="1:35" ht="102" x14ac:dyDescent="0.2">
      <c r="A164" s="46">
        <v>102</v>
      </c>
      <c r="B164" s="47" t="s">
        <v>477</v>
      </c>
      <c r="C164" s="48" t="str">
        <f t="shared" ca="1" si="5"/>
        <v xml:space="preserve">Проводник заземляющий открыто по строительным основаниям: из круглой стали диаметром 8 мм
100 м
821 руб. НР 81%=95%*0,85 от ФОТ (1014 руб.)
527 руб.СП 52%=65%*0,8 от ФОТ (1014 руб.)
</v>
      </c>
      <c r="D164" s="46">
        <v>0.32</v>
      </c>
      <c r="E164" s="49" t="s">
        <v>478</v>
      </c>
      <c r="F164" s="49" t="s">
        <v>479</v>
      </c>
      <c r="G164" s="49">
        <v>301.01</v>
      </c>
      <c r="H164" s="50" t="s">
        <v>480</v>
      </c>
      <c r="I164" s="51">
        <v>1497</v>
      </c>
      <c r="J164" s="49">
        <v>1014</v>
      </c>
      <c r="K164" s="49">
        <v>145</v>
      </c>
      <c r="L164" s="49" t="str">
        <f>IF(0.32*301.01=0," ",TEXT(,ROUND((0.32*301.01*3.52),2)))</f>
        <v>339.06</v>
      </c>
      <c r="M164" s="49" t="s">
        <v>482</v>
      </c>
      <c r="N164" s="49" t="s">
        <v>487</v>
      </c>
      <c r="O164" s="52"/>
      <c r="P164" s="52"/>
      <c r="Q164" s="52"/>
      <c r="R164" s="52"/>
      <c r="S164" s="52"/>
      <c r="T164" s="53"/>
      <c r="U164" s="53"/>
      <c r="V164" s="53"/>
      <c r="W164" s="53"/>
      <c r="X164" s="53"/>
      <c r="Y164" s="53"/>
      <c r="Z164" s="53"/>
      <c r="AA164" s="53" t="s">
        <v>484</v>
      </c>
      <c r="AB164" s="53" t="s">
        <v>44</v>
      </c>
      <c r="AC164" s="53">
        <v>821</v>
      </c>
      <c r="AD164" s="53">
        <v>527</v>
      </c>
      <c r="AE164" s="53"/>
      <c r="AF164" s="53" t="s">
        <v>485</v>
      </c>
      <c r="AG164" s="53" t="s">
        <v>486</v>
      </c>
      <c r="AH164" s="53"/>
      <c r="AI164" s="53">
        <f>1014+0</f>
        <v>1014</v>
      </c>
    </row>
    <row r="165" spans="1:35" ht="63.75" x14ac:dyDescent="0.2">
      <c r="A165" s="46">
        <v>103</v>
      </c>
      <c r="B165" s="47" t="s">
        <v>488</v>
      </c>
      <c r="C165" s="48" t="str">
        <f t="shared" ca="1" si="5"/>
        <v xml:space="preserve">Сталь листовая углеродистая обыкновенного качества марки ВСт3пс5 толщиной: 4-6 мм
т
</v>
      </c>
      <c r="D165" s="46" t="s">
        <v>489</v>
      </c>
      <c r="E165" s="49">
        <v>5763</v>
      </c>
      <c r="F165" s="49"/>
      <c r="G165" s="49">
        <v>5763</v>
      </c>
      <c r="H165" s="50" t="s">
        <v>490</v>
      </c>
      <c r="I165" s="51">
        <v>-5674</v>
      </c>
      <c r="J165" s="49"/>
      <c r="K165" s="49"/>
      <c r="L165" s="49" t="str">
        <f>IF(-0.1956*5763=0," ",TEXT(,ROUND((-0.1956*5763*5.035),2)))</f>
        <v>-5675.67</v>
      </c>
      <c r="M165" s="49"/>
      <c r="N165" s="49"/>
      <c r="O165" s="52"/>
      <c r="P165" s="52"/>
      <c r="Q165" s="52"/>
      <c r="R165" s="52"/>
      <c r="S165" s="52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 t="s">
        <v>491</v>
      </c>
      <c r="AG165" s="53" t="s">
        <v>163</v>
      </c>
      <c r="AH165" s="53"/>
      <c r="AI165" s="53">
        <f>0+0</f>
        <v>0</v>
      </c>
    </row>
    <row r="166" spans="1:35" ht="63.75" x14ac:dyDescent="0.2">
      <c r="A166" s="46">
        <v>104</v>
      </c>
      <c r="B166" s="47" t="s">
        <v>492</v>
      </c>
      <c r="C166" s="48" t="str">
        <f t="shared" ca="1" si="5"/>
        <v xml:space="preserve">Сталь круглая углеродистая обыкновенного качества марки ВСт3пс5-1 диаметром: 8 мм
т
</v>
      </c>
      <c r="D166" s="46" t="s">
        <v>493</v>
      </c>
      <c r="E166" s="49">
        <v>5230.01</v>
      </c>
      <c r="F166" s="49"/>
      <c r="G166" s="49">
        <v>5230.01</v>
      </c>
      <c r="H166" s="50" t="s">
        <v>494</v>
      </c>
      <c r="I166" s="51">
        <v>2074</v>
      </c>
      <c r="J166" s="49"/>
      <c r="K166" s="49"/>
      <c r="L166" s="49" t="str">
        <f>IF(0.0794*5230.01=0," ",TEXT(,ROUND((0.0794*5230.01*4.997),2)))</f>
        <v>2075.07</v>
      </c>
      <c r="M166" s="49"/>
      <c r="N166" s="49"/>
      <c r="O166" s="52"/>
      <c r="P166" s="52"/>
      <c r="Q166" s="52"/>
      <c r="R166" s="52"/>
      <c r="S166" s="52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 t="s">
        <v>495</v>
      </c>
      <c r="AG166" s="53" t="s">
        <v>163</v>
      </c>
      <c r="AH166" s="53"/>
      <c r="AI166" s="53">
        <f>0+0</f>
        <v>0</v>
      </c>
    </row>
    <row r="167" spans="1:35" ht="102" x14ac:dyDescent="0.2">
      <c r="A167" s="46">
        <v>105</v>
      </c>
      <c r="B167" s="47" t="s">
        <v>496</v>
      </c>
      <c r="C167" s="48" t="str">
        <f t="shared" ca="1" si="5"/>
        <v xml:space="preserve">Проводник заземляющий открыто по строительным основаниям: из круглой стали диаметром 12 мм
100 м
3519 руб. НР 81%=95%*0,85 от ФОТ (4344 руб.)
2259 руб.СП 52%=65%*0,8 от ФОТ (4344 руб.)
</v>
      </c>
      <c r="D167" s="46" t="s">
        <v>497</v>
      </c>
      <c r="E167" s="49" t="s">
        <v>498</v>
      </c>
      <c r="F167" s="49" t="s">
        <v>499</v>
      </c>
      <c r="G167" s="49">
        <v>105.21</v>
      </c>
      <c r="H167" s="50" t="s">
        <v>480</v>
      </c>
      <c r="I167" s="51">
        <v>5514</v>
      </c>
      <c r="J167" s="49">
        <v>4293</v>
      </c>
      <c r="K167" s="49" t="s">
        <v>500</v>
      </c>
      <c r="L167" s="49" t="str">
        <f>IF(1.27*105.21=0," ",TEXT(,ROUND((1.27*105.21*3.52),2)))</f>
        <v>470.33</v>
      </c>
      <c r="M167" s="49" t="s">
        <v>501</v>
      </c>
      <c r="N167" s="49" t="s">
        <v>502</v>
      </c>
      <c r="O167" s="52"/>
      <c r="P167" s="52"/>
      <c r="Q167" s="52"/>
      <c r="R167" s="52"/>
      <c r="S167" s="52"/>
      <c r="T167" s="53"/>
      <c r="U167" s="53"/>
      <c r="V167" s="53"/>
      <c r="W167" s="53"/>
      <c r="X167" s="53"/>
      <c r="Y167" s="53"/>
      <c r="Z167" s="53"/>
      <c r="AA167" s="53" t="s">
        <v>484</v>
      </c>
      <c r="AB167" s="53" t="s">
        <v>44</v>
      </c>
      <c r="AC167" s="53">
        <v>3519</v>
      </c>
      <c r="AD167" s="53">
        <v>2259</v>
      </c>
      <c r="AE167" s="53"/>
      <c r="AF167" s="53" t="s">
        <v>503</v>
      </c>
      <c r="AG167" s="53" t="s">
        <v>486</v>
      </c>
      <c r="AH167" s="53"/>
      <c r="AI167" s="53">
        <f>4293+51</f>
        <v>4344</v>
      </c>
    </row>
    <row r="168" spans="1:35" ht="63.75" x14ac:dyDescent="0.2">
      <c r="A168" s="46">
        <v>106</v>
      </c>
      <c r="B168" s="47" t="s">
        <v>504</v>
      </c>
      <c r="C168" s="48" t="str">
        <f t="shared" ca="1" si="5"/>
        <v xml:space="preserve">Сталь круглая углеродистая обыкновенного качества марки ВСт3пс5-1 диаметром: 18 мм
т
</v>
      </c>
      <c r="D168" s="46">
        <v>0.20080000000000001</v>
      </c>
      <c r="E168" s="49">
        <v>5230.01</v>
      </c>
      <c r="F168" s="49"/>
      <c r="G168" s="49">
        <v>5230.01</v>
      </c>
      <c r="H168" s="50" t="s">
        <v>505</v>
      </c>
      <c r="I168" s="51">
        <v>5108</v>
      </c>
      <c r="J168" s="49"/>
      <c r="K168" s="49"/>
      <c r="L168" s="49" t="str">
        <f>IF(0.2008*5230.01=0," ",TEXT(,ROUND((0.2008*5230.01*4.865),2)))</f>
        <v>5109.15</v>
      </c>
      <c r="M168" s="49"/>
      <c r="N168" s="49"/>
      <c r="O168" s="52"/>
      <c r="P168" s="52"/>
      <c r="Q168" s="52"/>
      <c r="R168" s="52"/>
      <c r="S168" s="52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 t="s">
        <v>506</v>
      </c>
      <c r="AG168" s="53" t="s">
        <v>163</v>
      </c>
      <c r="AH168" s="53"/>
      <c r="AI168" s="53">
        <f>0+0</f>
        <v>0</v>
      </c>
    </row>
    <row r="169" spans="1:35" ht="89.25" x14ac:dyDescent="0.2">
      <c r="A169" s="46">
        <v>107</v>
      </c>
      <c r="B169" s="47" t="s">
        <v>507</v>
      </c>
      <c r="C169" s="48" t="str">
        <f t="shared" ca="1" si="5"/>
        <v xml:space="preserve">Заземлитель вертикальный из круглой стали диаметром: 16 мм
10 шт.
438 руб. НР 81%=95%*0,85 от ФОТ (541 руб.)
281 руб.СП 52%=65%*0,8 от ФОТ (541 руб.)
</v>
      </c>
      <c r="D169" s="46">
        <v>0.4</v>
      </c>
      <c r="E169" s="49" t="s">
        <v>508</v>
      </c>
      <c r="F169" s="49" t="s">
        <v>509</v>
      </c>
      <c r="G169" s="49">
        <v>25.46</v>
      </c>
      <c r="H169" s="50" t="s">
        <v>510</v>
      </c>
      <c r="I169" s="51">
        <v>747</v>
      </c>
      <c r="J169" s="49">
        <v>524</v>
      </c>
      <c r="K169" s="49" t="s">
        <v>511</v>
      </c>
      <c r="L169" s="49" t="str">
        <f>IF(0.4*25.46=0," ",TEXT(,ROUND((0.4*25.46*3.6),2)))</f>
        <v>36.66</v>
      </c>
      <c r="M169" s="49" t="s">
        <v>512</v>
      </c>
      <c r="N169" s="49" t="s">
        <v>513</v>
      </c>
      <c r="O169" s="52"/>
      <c r="P169" s="52"/>
      <c r="Q169" s="52"/>
      <c r="R169" s="52"/>
      <c r="S169" s="52"/>
      <c r="T169" s="53"/>
      <c r="U169" s="53"/>
      <c r="V169" s="53"/>
      <c r="W169" s="53"/>
      <c r="X169" s="53"/>
      <c r="Y169" s="53"/>
      <c r="Z169" s="53"/>
      <c r="AA169" s="53" t="s">
        <v>484</v>
      </c>
      <c r="AB169" s="53" t="s">
        <v>44</v>
      </c>
      <c r="AC169" s="53">
        <v>438</v>
      </c>
      <c r="AD169" s="53">
        <v>281</v>
      </c>
      <c r="AE169" s="53"/>
      <c r="AF169" s="53" t="s">
        <v>514</v>
      </c>
      <c r="AG169" s="53" t="s">
        <v>515</v>
      </c>
      <c r="AH169" s="53"/>
      <c r="AI169" s="53">
        <f>524+17</f>
        <v>541</v>
      </c>
    </row>
    <row r="170" spans="1:35" ht="63.75" x14ac:dyDescent="0.2">
      <c r="A170" s="46">
        <v>108</v>
      </c>
      <c r="B170" s="47" t="s">
        <v>504</v>
      </c>
      <c r="C170" s="48" t="str">
        <f t="shared" ca="1" si="5"/>
        <v xml:space="preserve">Сталь круглая углеродистая обыкновенного качества марки ВСт3пс5-1 диаметром: 18 мм
т
</v>
      </c>
      <c r="D170" s="46">
        <v>6.3200000000000006E-2</v>
      </c>
      <c r="E170" s="49">
        <v>5230.01</v>
      </c>
      <c r="F170" s="49"/>
      <c r="G170" s="49">
        <v>5230.01</v>
      </c>
      <c r="H170" s="50" t="s">
        <v>505</v>
      </c>
      <c r="I170" s="51">
        <v>1610</v>
      </c>
      <c r="J170" s="49"/>
      <c r="K170" s="49"/>
      <c r="L170" s="49" t="str">
        <f>IF(0.0632*5230.01=0," ",TEXT(,ROUND((0.0632*5230.01*4.865),2)))</f>
        <v>1608.06</v>
      </c>
      <c r="M170" s="49"/>
      <c r="N170" s="49"/>
      <c r="O170" s="52"/>
      <c r="P170" s="52"/>
      <c r="Q170" s="52"/>
      <c r="R170" s="52"/>
      <c r="S170" s="52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 t="s">
        <v>506</v>
      </c>
      <c r="AG170" s="53" t="s">
        <v>163</v>
      </c>
      <c r="AH170" s="53"/>
      <c r="AI170" s="53">
        <f>0+0</f>
        <v>0</v>
      </c>
    </row>
    <row r="171" spans="1:35" ht="102" x14ac:dyDescent="0.2">
      <c r="A171" s="46">
        <v>109</v>
      </c>
      <c r="B171" s="47" t="s">
        <v>516</v>
      </c>
      <c r="C171" s="48" t="str">
        <f t="shared" ca="1" si="5"/>
        <v xml:space="preserve">Проводник заземляющий открыто по строительным основаниям: из полосовой стали сечением 160 мм2
100 м
288 руб. НР 81%=95%*0,85 от ФОТ (355 руб.)
185 руб.СП 52%=65%*0,8 от ФОТ (355 руб.)
</v>
      </c>
      <c r="D171" s="46">
        <v>0.104</v>
      </c>
      <c r="E171" s="49" t="s">
        <v>517</v>
      </c>
      <c r="F171" s="49" t="s">
        <v>518</v>
      </c>
      <c r="G171" s="49">
        <v>106.57</v>
      </c>
      <c r="H171" s="50" t="s">
        <v>480</v>
      </c>
      <c r="I171" s="51">
        <v>471</v>
      </c>
      <c r="J171" s="49">
        <v>355</v>
      </c>
      <c r="K171" s="49">
        <v>77</v>
      </c>
      <c r="L171" s="49" t="str">
        <f>IF(0.104*106.57=0," ",TEXT(,ROUND((0.104*106.57*3.52),2)))</f>
        <v>39.01</v>
      </c>
      <c r="M171" s="49" t="s">
        <v>519</v>
      </c>
      <c r="N171" s="49" t="s">
        <v>520</v>
      </c>
      <c r="O171" s="52"/>
      <c r="P171" s="52"/>
      <c r="Q171" s="52"/>
      <c r="R171" s="52"/>
      <c r="S171" s="52"/>
      <c r="T171" s="53"/>
      <c r="U171" s="53"/>
      <c r="V171" s="53"/>
      <c r="W171" s="53"/>
      <c r="X171" s="53"/>
      <c r="Y171" s="53"/>
      <c r="Z171" s="53"/>
      <c r="AA171" s="53" t="s">
        <v>484</v>
      </c>
      <c r="AB171" s="53" t="s">
        <v>44</v>
      </c>
      <c r="AC171" s="53">
        <v>288</v>
      </c>
      <c r="AD171" s="53">
        <v>185</v>
      </c>
      <c r="AE171" s="53"/>
      <c r="AF171" s="53" t="s">
        <v>521</v>
      </c>
      <c r="AG171" s="53" t="s">
        <v>486</v>
      </c>
      <c r="AH171" s="53"/>
      <c r="AI171" s="53">
        <f>355+0</f>
        <v>355</v>
      </c>
    </row>
    <row r="172" spans="1:35" ht="63.75" x14ac:dyDescent="0.2">
      <c r="A172" s="46">
        <v>110</v>
      </c>
      <c r="B172" s="47" t="s">
        <v>488</v>
      </c>
      <c r="C172" s="48" t="str">
        <f t="shared" ca="1" si="5"/>
        <v xml:space="preserve">Сталь листовая углеродистая обыкновенного качества марки ВСт3пс5 толщиной: 4-6 мм
т
</v>
      </c>
      <c r="D172" s="46">
        <v>1.6240000000000001E-2</v>
      </c>
      <c r="E172" s="49">
        <v>5763</v>
      </c>
      <c r="F172" s="49"/>
      <c r="G172" s="49">
        <v>5763</v>
      </c>
      <c r="H172" s="50" t="s">
        <v>490</v>
      </c>
      <c r="I172" s="51">
        <v>473</v>
      </c>
      <c r="J172" s="49"/>
      <c r="K172" s="49"/>
      <c r="L172" s="49" t="str">
        <f>IF(0.01624*5763=0," ",TEXT(,ROUND((0.01624*5763*5.035),2)))</f>
        <v>471.23</v>
      </c>
      <c r="M172" s="49"/>
      <c r="N172" s="49"/>
      <c r="O172" s="52"/>
      <c r="P172" s="52"/>
      <c r="Q172" s="52"/>
      <c r="R172" s="52"/>
      <c r="S172" s="52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 t="s">
        <v>491</v>
      </c>
      <c r="AG172" s="53" t="s">
        <v>163</v>
      </c>
      <c r="AH172" s="53"/>
      <c r="AI172" s="53">
        <f>0+0</f>
        <v>0</v>
      </c>
    </row>
    <row r="173" spans="1:35" ht="89.25" x14ac:dyDescent="0.2">
      <c r="A173" s="46">
        <v>111</v>
      </c>
      <c r="B173" s="47" t="s">
        <v>522</v>
      </c>
      <c r="C173" s="48" t="str">
        <f t="shared" ca="1" si="5"/>
        <v xml:space="preserve">Измерение сопротивления растеканию тока: заземлителя
1 измерение
149 руб. НР 55%=65%*0,85 от ФОТ (270 руб.)
86 руб.СП 32%=40%*0,8 от ФОТ (270 руб.)
</v>
      </c>
      <c r="D173" s="46">
        <v>1</v>
      </c>
      <c r="E173" s="49" t="s">
        <v>523</v>
      </c>
      <c r="F173" s="49"/>
      <c r="G173" s="49"/>
      <c r="H173" s="50" t="s">
        <v>524</v>
      </c>
      <c r="I173" s="51">
        <v>270</v>
      </c>
      <c r="J173" s="49">
        <v>270</v>
      </c>
      <c r="K173" s="49"/>
      <c r="L173" s="49" t="str">
        <f>IF(1*0=0," ",TEXT(,ROUND((1*0*1),2)))</f>
        <v xml:space="preserve"> </v>
      </c>
      <c r="M173" s="49">
        <v>1.22</v>
      </c>
      <c r="N173" s="49">
        <v>1.22</v>
      </c>
      <c r="O173" s="52"/>
      <c r="P173" s="52"/>
      <c r="Q173" s="52"/>
      <c r="R173" s="52"/>
      <c r="S173" s="52"/>
      <c r="T173" s="53"/>
      <c r="U173" s="53"/>
      <c r="V173" s="53"/>
      <c r="W173" s="53"/>
      <c r="X173" s="53"/>
      <c r="Y173" s="53"/>
      <c r="Z173" s="53"/>
      <c r="AA173" s="53" t="s">
        <v>525</v>
      </c>
      <c r="AB173" s="53" t="s">
        <v>526</v>
      </c>
      <c r="AC173" s="53">
        <v>149</v>
      </c>
      <c r="AD173" s="53">
        <v>86</v>
      </c>
      <c r="AE173" s="53"/>
      <c r="AF173" s="53" t="s">
        <v>527</v>
      </c>
      <c r="AG173" s="53" t="s">
        <v>528</v>
      </c>
      <c r="AH173" s="53"/>
      <c r="AI173" s="53">
        <f>270+0</f>
        <v>270</v>
      </c>
    </row>
    <row r="174" spans="1:35" ht="165.75" x14ac:dyDescent="0.2">
      <c r="A174" s="55">
        <v>112</v>
      </c>
      <c r="B174" s="56" t="s">
        <v>529</v>
      </c>
      <c r="C174" s="57" t="str">
        <f t="shared" ca="1" si="5"/>
        <v xml:space="preserve">Замена существующей антенны с демонтажом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
1 антенна
6499 руб. НР 78%=92%*0,85 от ФОТ (8332 руб.)
4333 руб.СП 52%=65%*0,8 от ФОТ (8332 руб.)
</v>
      </c>
      <c r="D174" s="55">
        <v>2</v>
      </c>
      <c r="E174" s="58" t="s">
        <v>530</v>
      </c>
      <c r="F174" s="58"/>
      <c r="G174" s="58">
        <v>4.93</v>
      </c>
      <c r="H174" s="59" t="s">
        <v>531</v>
      </c>
      <c r="I174" s="60">
        <v>8388</v>
      </c>
      <c r="J174" s="58">
        <v>8332</v>
      </c>
      <c r="K174" s="58"/>
      <c r="L174" s="58" t="str">
        <f>IF(2*4.93=0," ",TEXT(,ROUND((2*4.93*5.56),2)))</f>
        <v>54.82</v>
      </c>
      <c r="M174" s="58">
        <v>23.8</v>
      </c>
      <c r="N174" s="58">
        <v>47.6</v>
      </c>
      <c r="O174" s="52"/>
      <c r="P174" s="52"/>
      <c r="Q174" s="52"/>
      <c r="R174" s="52"/>
      <c r="S174" s="52"/>
      <c r="T174" s="53"/>
      <c r="U174" s="53"/>
      <c r="V174" s="53"/>
      <c r="W174" s="53"/>
      <c r="X174" s="53"/>
      <c r="Y174" s="53"/>
      <c r="Z174" s="53"/>
      <c r="AA174" s="53" t="s">
        <v>532</v>
      </c>
      <c r="AB174" s="53" t="s">
        <v>44</v>
      </c>
      <c r="AC174" s="53">
        <v>6499</v>
      </c>
      <c r="AD174" s="53">
        <v>4333</v>
      </c>
      <c r="AE174" s="53"/>
      <c r="AF174" s="53" t="s">
        <v>533</v>
      </c>
      <c r="AG174" s="53" t="s">
        <v>534</v>
      </c>
      <c r="AH174" s="53"/>
      <c r="AI174" s="53">
        <f>8332+0</f>
        <v>8332</v>
      </c>
    </row>
    <row r="175" spans="1:35" ht="25.5" x14ac:dyDescent="0.2">
      <c r="A175" s="72" t="s">
        <v>104</v>
      </c>
      <c r="B175" s="67"/>
      <c r="C175" s="67"/>
      <c r="D175" s="67"/>
      <c r="E175" s="67"/>
      <c r="F175" s="67"/>
      <c r="G175" s="67"/>
      <c r="H175" s="67"/>
      <c r="I175" s="51">
        <v>2949</v>
      </c>
      <c r="J175" s="49">
        <v>1194</v>
      </c>
      <c r="K175" s="49" t="s">
        <v>535</v>
      </c>
      <c r="L175" s="49">
        <v>1533</v>
      </c>
      <c r="M175" s="49"/>
      <c r="N175" s="49" t="s">
        <v>536</v>
      </c>
      <c r="O175" s="18"/>
      <c r="P175" s="19"/>
      <c r="Q175" s="18"/>
      <c r="R175" s="18"/>
      <c r="S175" s="18"/>
    </row>
    <row r="176" spans="1:35" ht="25.5" x14ac:dyDescent="0.2">
      <c r="A176" s="72" t="s">
        <v>107</v>
      </c>
      <c r="B176" s="67"/>
      <c r="C176" s="67"/>
      <c r="D176" s="67"/>
      <c r="E176" s="67"/>
      <c r="F176" s="67"/>
      <c r="G176" s="67"/>
      <c r="H176" s="67"/>
      <c r="I176" s="51">
        <v>28402</v>
      </c>
      <c r="J176" s="49">
        <v>20179</v>
      </c>
      <c r="K176" s="49" t="s">
        <v>537</v>
      </c>
      <c r="L176" s="49">
        <v>6325</v>
      </c>
      <c r="M176" s="49"/>
      <c r="N176" s="49" t="s">
        <v>536</v>
      </c>
      <c r="O176" s="18"/>
      <c r="P176" s="19"/>
      <c r="Q176" s="18"/>
      <c r="R176" s="18"/>
      <c r="S176" s="18"/>
    </row>
    <row r="177" spans="1:35" x14ac:dyDescent="0.2">
      <c r="A177" s="72" t="s">
        <v>109</v>
      </c>
      <c r="B177" s="67"/>
      <c r="C177" s="67"/>
      <c r="D177" s="67"/>
      <c r="E177" s="67"/>
      <c r="F177" s="67"/>
      <c r="G177" s="67"/>
      <c r="H177" s="67"/>
      <c r="I177" s="51">
        <v>16122</v>
      </c>
      <c r="J177" s="49"/>
      <c r="K177" s="49"/>
      <c r="L177" s="49"/>
      <c r="M177" s="49"/>
      <c r="N177" s="49"/>
      <c r="O177" s="18"/>
      <c r="P177" s="19"/>
      <c r="Q177" s="18"/>
      <c r="R177" s="18"/>
      <c r="S177" s="18"/>
    </row>
    <row r="178" spans="1:35" x14ac:dyDescent="0.2">
      <c r="A178" s="72" t="s">
        <v>110</v>
      </c>
      <c r="B178" s="67"/>
      <c r="C178" s="67"/>
      <c r="D178" s="67"/>
      <c r="E178" s="67"/>
      <c r="F178" s="67"/>
      <c r="G178" s="67"/>
      <c r="H178" s="67"/>
      <c r="I178" s="51">
        <v>10501</v>
      </c>
      <c r="J178" s="49"/>
      <c r="K178" s="49"/>
      <c r="L178" s="49"/>
      <c r="M178" s="49"/>
      <c r="N178" s="49"/>
      <c r="O178" s="18"/>
      <c r="P178" s="19"/>
      <c r="Q178" s="18"/>
      <c r="R178" s="18"/>
      <c r="S178" s="18"/>
    </row>
    <row r="179" spans="1:35" ht="25.5" x14ac:dyDescent="0.2">
      <c r="A179" s="73" t="s">
        <v>538</v>
      </c>
      <c r="B179" s="74"/>
      <c r="C179" s="74"/>
      <c r="D179" s="74"/>
      <c r="E179" s="74"/>
      <c r="F179" s="74"/>
      <c r="G179" s="74"/>
      <c r="H179" s="74"/>
      <c r="I179" s="61">
        <v>55025</v>
      </c>
      <c r="J179" s="62"/>
      <c r="K179" s="62"/>
      <c r="L179" s="62"/>
      <c r="M179" s="62"/>
      <c r="N179" s="62" t="s">
        <v>536</v>
      </c>
      <c r="O179" s="18"/>
      <c r="P179" s="19"/>
      <c r="Q179" s="18"/>
      <c r="R179" s="18"/>
      <c r="S179" s="18"/>
    </row>
    <row r="180" spans="1:35" ht="21" customHeight="1" x14ac:dyDescent="0.2">
      <c r="A180" s="70" t="s">
        <v>539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</row>
    <row r="181" spans="1:35" ht="76.5" x14ac:dyDescent="0.2">
      <c r="A181" s="46">
        <v>113</v>
      </c>
      <c r="B181" s="47" t="s">
        <v>540</v>
      </c>
      <c r="C181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181" s="46">
        <v>10</v>
      </c>
      <c r="E181" s="49" t="s">
        <v>541</v>
      </c>
      <c r="F181" s="49"/>
      <c r="G181" s="49"/>
      <c r="H181" s="50" t="s">
        <v>542</v>
      </c>
      <c r="I181" s="51">
        <v>4786</v>
      </c>
      <c r="J181" s="49">
        <v>4786</v>
      </c>
      <c r="K181" s="49"/>
      <c r="L181" s="49" t="str">
        <f>IF(10*0=0," ",TEXT(,ROUND((10*0*1),2)))</f>
        <v xml:space="preserve"> </v>
      </c>
      <c r="M181" s="49"/>
      <c r="N181" s="49"/>
      <c r="O181" s="52"/>
      <c r="P181" s="52"/>
      <c r="Q181" s="52"/>
      <c r="R181" s="52"/>
      <c r="S181" s="52"/>
      <c r="T181" s="53"/>
      <c r="U181" s="53"/>
      <c r="V181" s="53"/>
      <c r="W181" s="53"/>
      <c r="X181" s="53"/>
      <c r="Y181" s="53"/>
      <c r="Z181" s="53"/>
      <c r="AA181" s="53" t="s">
        <v>543</v>
      </c>
      <c r="AB181" s="53" t="s">
        <v>544</v>
      </c>
      <c r="AC181" s="53"/>
      <c r="AD181" s="53"/>
      <c r="AE181" s="53"/>
      <c r="AF181" s="53" t="s">
        <v>545</v>
      </c>
      <c r="AG181" s="53" t="s">
        <v>546</v>
      </c>
      <c r="AH181" s="53"/>
      <c r="AI181" s="53">
        <f>4786+0</f>
        <v>4786</v>
      </c>
    </row>
    <row r="182" spans="1:35" ht="76.5" x14ac:dyDescent="0.2">
      <c r="A182" s="46">
        <v>114</v>
      </c>
      <c r="B182" s="47" t="s">
        <v>547</v>
      </c>
      <c r="C182" s="48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прочих материалов, деталей (с использованием погрузчика)
1 т груза
</v>
      </c>
      <c r="D182" s="46">
        <v>86</v>
      </c>
      <c r="E182" s="49">
        <v>17.95</v>
      </c>
      <c r="F182" s="49">
        <v>17.95</v>
      </c>
      <c r="G182" s="49"/>
      <c r="H182" s="50" t="s">
        <v>548</v>
      </c>
      <c r="I182" s="51">
        <v>17432</v>
      </c>
      <c r="J182" s="49"/>
      <c r="K182" s="49">
        <v>17432</v>
      </c>
      <c r="L182" s="49" t="str">
        <f>IF(86*0=0," ",TEXT(,ROUND((86*0*1),2)))</f>
        <v xml:space="preserve"> </v>
      </c>
      <c r="M182" s="49"/>
      <c r="N182" s="49"/>
      <c r="O182" s="52"/>
      <c r="P182" s="52"/>
      <c r="Q182" s="52"/>
      <c r="R182" s="52"/>
      <c r="S182" s="52"/>
      <c r="T182" s="53"/>
      <c r="U182" s="53"/>
      <c r="V182" s="53"/>
      <c r="W182" s="53"/>
      <c r="X182" s="53"/>
      <c r="Y182" s="53"/>
      <c r="Z182" s="53"/>
      <c r="AA182" s="53" t="s">
        <v>543</v>
      </c>
      <c r="AB182" s="53" t="s">
        <v>544</v>
      </c>
      <c r="AC182" s="53"/>
      <c r="AD182" s="53"/>
      <c r="AE182" s="53"/>
      <c r="AF182" s="53" t="s">
        <v>549</v>
      </c>
      <c r="AG182" s="53" t="s">
        <v>546</v>
      </c>
      <c r="AH182" s="53"/>
      <c r="AI182" s="53">
        <f>0+0</f>
        <v>0</v>
      </c>
    </row>
    <row r="183" spans="1:35" ht="85.5" customHeight="1" x14ac:dyDescent="0.2">
      <c r="A183" s="55">
        <v>115</v>
      </c>
      <c r="B183" s="56" t="s">
        <v>550</v>
      </c>
      <c r="C183" s="57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183" s="55">
        <v>96</v>
      </c>
      <c r="E183" s="58">
        <v>13.38</v>
      </c>
      <c r="F183" s="58">
        <v>13.38</v>
      </c>
      <c r="G183" s="58"/>
      <c r="H183" s="59" t="s">
        <v>551</v>
      </c>
      <c r="I183" s="60">
        <v>12635</v>
      </c>
      <c r="J183" s="58"/>
      <c r="K183" s="58">
        <v>12635</v>
      </c>
      <c r="L183" s="58" t="str">
        <f>IF(96*0=0," ",TEXT(,ROUND((96*0*1),2)))</f>
        <v xml:space="preserve"> </v>
      </c>
      <c r="M183" s="58"/>
      <c r="N183" s="58"/>
      <c r="O183" s="52"/>
      <c r="P183" s="52"/>
      <c r="Q183" s="52"/>
      <c r="R183" s="52"/>
      <c r="S183" s="52"/>
      <c r="T183" s="53"/>
      <c r="U183" s="53"/>
      <c r="V183" s="53"/>
      <c r="W183" s="53"/>
      <c r="X183" s="53"/>
      <c r="Y183" s="53"/>
      <c r="Z183" s="53"/>
      <c r="AA183" s="53" t="s">
        <v>156</v>
      </c>
      <c r="AB183" s="53" t="s">
        <v>157</v>
      </c>
      <c r="AC183" s="53"/>
      <c r="AD183" s="53"/>
      <c r="AE183" s="53"/>
      <c r="AF183" s="53" t="s">
        <v>552</v>
      </c>
      <c r="AG183" s="53" t="s">
        <v>546</v>
      </c>
      <c r="AH183" s="53"/>
      <c r="AI183" s="53">
        <f>0+0</f>
        <v>0</v>
      </c>
    </row>
    <row r="184" spans="1:35" x14ac:dyDescent="0.2">
      <c r="A184" s="72" t="s">
        <v>104</v>
      </c>
      <c r="B184" s="67"/>
      <c r="C184" s="67"/>
      <c r="D184" s="67"/>
      <c r="E184" s="67"/>
      <c r="F184" s="67"/>
      <c r="G184" s="67"/>
      <c r="H184" s="67"/>
      <c r="I184" s="51">
        <v>3258</v>
      </c>
      <c r="J184" s="49">
        <v>430</v>
      </c>
      <c r="K184" s="49">
        <v>2828</v>
      </c>
      <c r="L184" s="49"/>
      <c r="M184" s="49"/>
      <c r="N184" s="49"/>
      <c r="O184" s="18"/>
      <c r="P184" s="19"/>
      <c r="Q184" s="18"/>
      <c r="R184" s="18"/>
      <c r="S184" s="18"/>
    </row>
    <row r="185" spans="1:35" x14ac:dyDescent="0.2">
      <c r="A185" s="72" t="s">
        <v>107</v>
      </c>
      <c r="B185" s="67"/>
      <c r="C185" s="67"/>
      <c r="D185" s="67"/>
      <c r="E185" s="67"/>
      <c r="F185" s="67"/>
      <c r="G185" s="67"/>
      <c r="H185" s="67"/>
      <c r="I185" s="51">
        <v>34853</v>
      </c>
      <c r="J185" s="49">
        <v>4786</v>
      </c>
      <c r="K185" s="49">
        <v>30067</v>
      </c>
      <c r="L185" s="49"/>
      <c r="M185" s="49"/>
      <c r="N185" s="49"/>
      <c r="O185" s="18"/>
      <c r="P185" s="19"/>
      <c r="Q185" s="18"/>
      <c r="R185" s="18"/>
      <c r="S185" s="18"/>
    </row>
    <row r="186" spans="1:35" x14ac:dyDescent="0.2">
      <c r="A186" s="73" t="s">
        <v>553</v>
      </c>
      <c r="B186" s="74"/>
      <c r="C186" s="74"/>
      <c r="D186" s="74"/>
      <c r="E186" s="74"/>
      <c r="F186" s="74"/>
      <c r="G186" s="74"/>
      <c r="H186" s="74"/>
      <c r="I186" s="61">
        <v>34853</v>
      </c>
      <c r="J186" s="62"/>
      <c r="K186" s="62"/>
      <c r="L186" s="58"/>
      <c r="M186" s="58"/>
      <c r="N186" s="58"/>
      <c r="O186" s="18"/>
      <c r="P186" s="19"/>
      <c r="Q186" s="18"/>
      <c r="R186" s="18"/>
      <c r="S186" s="18"/>
    </row>
    <row r="187" spans="1:35" ht="25.5" x14ac:dyDescent="0.2">
      <c r="A187" s="66" t="s">
        <v>554</v>
      </c>
      <c r="B187" s="67"/>
      <c r="C187" s="67"/>
      <c r="D187" s="67"/>
      <c r="E187" s="67"/>
      <c r="F187" s="67"/>
      <c r="G187" s="67"/>
      <c r="H187" s="67"/>
      <c r="I187" s="64">
        <v>319575</v>
      </c>
      <c r="J187" s="64">
        <v>26018</v>
      </c>
      <c r="K187" s="64" t="s">
        <v>555</v>
      </c>
      <c r="L187" s="64">
        <v>283479</v>
      </c>
      <c r="M187" s="64"/>
      <c r="N187" s="64" t="s">
        <v>556</v>
      </c>
      <c r="O187" s="18"/>
      <c r="P187" s="19"/>
      <c r="Q187" s="18"/>
      <c r="R187" s="18"/>
      <c r="S187" s="18"/>
    </row>
    <row r="188" spans="1:35" ht="25.5" x14ac:dyDescent="0.2">
      <c r="A188" s="66" t="s">
        <v>557</v>
      </c>
      <c r="B188" s="67"/>
      <c r="C188" s="67"/>
      <c r="D188" s="67"/>
      <c r="E188" s="67"/>
      <c r="F188" s="67"/>
      <c r="G188" s="67"/>
      <c r="H188" s="67"/>
      <c r="I188" s="64">
        <v>323897</v>
      </c>
      <c r="J188" s="64">
        <v>28808</v>
      </c>
      <c r="K188" s="64" t="s">
        <v>558</v>
      </c>
      <c r="L188" s="64">
        <v>283479</v>
      </c>
      <c r="M188" s="64"/>
      <c r="N188" s="64" t="s">
        <v>559</v>
      </c>
      <c r="O188" s="18"/>
      <c r="P188" s="19"/>
      <c r="Q188" s="18"/>
      <c r="R188" s="18"/>
      <c r="S188" s="18"/>
    </row>
    <row r="189" spans="1:35" ht="25.5" x14ac:dyDescent="0.2">
      <c r="A189" s="66" t="s">
        <v>560</v>
      </c>
      <c r="B189" s="67"/>
      <c r="C189" s="67"/>
      <c r="D189" s="67"/>
      <c r="E189" s="67"/>
      <c r="F189" s="67"/>
      <c r="G189" s="67"/>
      <c r="H189" s="67"/>
      <c r="I189" s="64">
        <v>1998345</v>
      </c>
      <c r="J189" s="64">
        <v>484376</v>
      </c>
      <c r="K189" s="64" t="s">
        <v>561</v>
      </c>
      <c r="L189" s="64">
        <v>1393345</v>
      </c>
      <c r="M189" s="64"/>
      <c r="N189" s="64" t="s">
        <v>559</v>
      </c>
      <c r="O189" s="18"/>
      <c r="P189" s="19"/>
      <c r="Q189" s="18"/>
      <c r="R189" s="18"/>
      <c r="S189" s="18"/>
    </row>
    <row r="190" spans="1:35" x14ac:dyDescent="0.2">
      <c r="A190" s="66" t="s">
        <v>109</v>
      </c>
      <c r="B190" s="67"/>
      <c r="C190" s="67"/>
      <c r="D190" s="67"/>
      <c r="E190" s="67"/>
      <c r="F190" s="67"/>
      <c r="G190" s="67"/>
      <c r="H190" s="67"/>
      <c r="I190" s="64">
        <v>422575</v>
      </c>
      <c r="J190" s="64"/>
      <c r="K190" s="64"/>
      <c r="L190" s="64"/>
      <c r="M190" s="64"/>
      <c r="N190" s="64"/>
      <c r="O190" s="18"/>
      <c r="P190" s="19"/>
      <c r="Q190" s="18"/>
      <c r="R190" s="18"/>
      <c r="S190" s="18"/>
    </row>
    <row r="191" spans="1:35" x14ac:dyDescent="0.2">
      <c r="A191" s="66" t="s">
        <v>110</v>
      </c>
      <c r="B191" s="67"/>
      <c r="C191" s="67"/>
      <c r="D191" s="67"/>
      <c r="E191" s="67"/>
      <c r="F191" s="67"/>
      <c r="G191" s="67"/>
      <c r="H191" s="67"/>
      <c r="I191" s="64">
        <v>225734</v>
      </c>
      <c r="J191" s="64"/>
      <c r="K191" s="64"/>
      <c r="L191" s="64"/>
      <c r="M191" s="64"/>
      <c r="N191" s="64"/>
      <c r="O191" s="18"/>
      <c r="P191" s="19"/>
      <c r="Q191" s="18"/>
      <c r="R191" s="18"/>
      <c r="S191" s="18"/>
    </row>
    <row r="192" spans="1:35" x14ac:dyDescent="0.2">
      <c r="A192" s="68" t="s">
        <v>562</v>
      </c>
      <c r="B192" s="69"/>
      <c r="C192" s="69"/>
      <c r="D192" s="69"/>
      <c r="E192" s="69"/>
      <c r="F192" s="69"/>
      <c r="G192" s="69"/>
      <c r="H192" s="69"/>
      <c r="I192" s="65"/>
      <c r="J192" s="65"/>
      <c r="K192" s="65"/>
      <c r="L192" s="65"/>
      <c r="M192" s="65"/>
      <c r="N192" s="65"/>
      <c r="O192" s="18"/>
      <c r="P192" s="19"/>
      <c r="Q192" s="18"/>
      <c r="R192" s="18"/>
      <c r="S192" s="18"/>
    </row>
    <row r="193" spans="1:19" ht="25.5" x14ac:dyDescent="0.2">
      <c r="A193" s="66" t="s">
        <v>563</v>
      </c>
      <c r="B193" s="67"/>
      <c r="C193" s="67"/>
      <c r="D193" s="67"/>
      <c r="E193" s="67"/>
      <c r="F193" s="67"/>
      <c r="G193" s="67"/>
      <c r="H193" s="67"/>
      <c r="I193" s="64">
        <v>2591629</v>
      </c>
      <c r="J193" s="64"/>
      <c r="K193" s="64"/>
      <c r="L193" s="64"/>
      <c r="M193" s="64"/>
      <c r="N193" s="64" t="s">
        <v>564</v>
      </c>
      <c r="O193" s="18"/>
      <c r="P193" s="19"/>
      <c r="Q193" s="18"/>
      <c r="R193" s="18"/>
      <c r="S193" s="18"/>
    </row>
    <row r="194" spans="1:19" ht="25.5" x14ac:dyDescent="0.2">
      <c r="A194" s="66" t="s">
        <v>565</v>
      </c>
      <c r="B194" s="67"/>
      <c r="C194" s="67"/>
      <c r="D194" s="67"/>
      <c r="E194" s="67"/>
      <c r="F194" s="67"/>
      <c r="G194" s="67"/>
      <c r="H194" s="67"/>
      <c r="I194" s="64">
        <v>54520</v>
      </c>
      <c r="J194" s="64"/>
      <c r="K194" s="64"/>
      <c r="L194" s="64"/>
      <c r="M194" s="64"/>
      <c r="N194" s="64" t="s">
        <v>566</v>
      </c>
      <c r="O194" s="18"/>
      <c r="P194" s="19"/>
      <c r="Q194" s="18"/>
      <c r="R194" s="18"/>
      <c r="S194" s="18"/>
    </row>
    <row r="195" spans="1:19" x14ac:dyDescent="0.2">
      <c r="A195" s="66" t="s">
        <v>567</v>
      </c>
      <c r="B195" s="67"/>
      <c r="C195" s="67"/>
      <c r="D195" s="67"/>
      <c r="E195" s="67"/>
      <c r="F195" s="67"/>
      <c r="G195" s="67"/>
      <c r="H195" s="67"/>
      <c r="I195" s="64">
        <v>505</v>
      </c>
      <c r="J195" s="64"/>
      <c r="K195" s="64"/>
      <c r="L195" s="64"/>
      <c r="M195" s="64"/>
      <c r="N195" s="64">
        <v>1.22</v>
      </c>
      <c r="O195" s="18"/>
      <c r="P195" s="19"/>
      <c r="Q195" s="18"/>
      <c r="R195" s="18"/>
      <c r="S195" s="18"/>
    </row>
    <row r="196" spans="1:19" ht="25.5" x14ac:dyDescent="0.2">
      <c r="A196" s="66" t="s">
        <v>568</v>
      </c>
      <c r="B196" s="67"/>
      <c r="C196" s="67"/>
      <c r="D196" s="67"/>
      <c r="E196" s="67"/>
      <c r="F196" s="67"/>
      <c r="G196" s="67"/>
      <c r="H196" s="67"/>
      <c r="I196" s="64">
        <v>2646654</v>
      </c>
      <c r="J196" s="64"/>
      <c r="K196" s="64"/>
      <c r="L196" s="64"/>
      <c r="M196" s="64"/>
      <c r="N196" s="64" t="s">
        <v>559</v>
      </c>
      <c r="O196" s="18"/>
      <c r="P196" s="19"/>
      <c r="Q196" s="18"/>
      <c r="R196" s="18"/>
      <c r="S196" s="18"/>
    </row>
    <row r="197" spans="1:19" x14ac:dyDescent="0.2">
      <c r="A197" s="66" t="s">
        <v>569</v>
      </c>
      <c r="B197" s="67"/>
      <c r="C197" s="67"/>
      <c r="D197" s="67"/>
      <c r="E197" s="67"/>
      <c r="F197" s="67"/>
      <c r="G197" s="67"/>
      <c r="H197" s="67"/>
      <c r="I197" s="64"/>
      <c r="J197" s="64"/>
      <c r="K197" s="64"/>
      <c r="L197" s="64"/>
      <c r="M197" s="64"/>
      <c r="N197" s="64"/>
      <c r="O197" s="18"/>
      <c r="P197" s="19"/>
      <c r="Q197" s="18"/>
      <c r="R197" s="18"/>
      <c r="S197" s="18"/>
    </row>
    <row r="198" spans="1:19" x14ac:dyDescent="0.2">
      <c r="A198" s="66" t="s">
        <v>570</v>
      </c>
      <c r="B198" s="67"/>
      <c r="C198" s="67"/>
      <c r="D198" s="67"/>
      <c r="E198" s="67"/>
      <c r="F198" s="67"/>
      <c r="G198" s="67"/>
      <c r="H198" s="67"/>
      <c r="I198" s="64">
        <v>1393345</v>
      </c>
      <c r="J198" s="64"/>
      <c r="K198" s="64"/>
      <c r="L198" s="64"/>
      <c r="M198" s="64"/>
      <c r="N198" s="64"/>
      <c r="O198" s="18"/>
      <c r="P198" s="19"/>
      <c r="Q198" s="18"/>
      <c r="R198" s="18"/>
      <c r="S198" s="18"/>
    </row>
    <row r="199" spans="1:19" x14ac:dyDescent="0.2">
      <c r="A199" s="66" t="s">
        <v>571</v>
      </c>
      <c r="B199" s="67"/>
      <c r="C199" s="67"/>
      <c r="D199" s="67"/>
      <c r="E199" s="67"/>
      <c r="F199" s="67"/>
      <c r="G199" s="67"/>
      <c r="H199" s="67"/>
      <c r="I199" s="64">
        <v>120625</v>
      </c>
      <c r="J199" s="64"/>
      <c r="K199" s="64"/>
      <c r="L199" s="64"/>
      <c r="M199" s="64"/>
      <c r="N199" s="64"/>
      <c r="O199" s="18"/>
      <c r="P199" s="19"/>
      <c r="Q199" s="18"/>
      <c r="R199" s="18"/>
      <c r="S199" s="18"/>
    </row>
    <row r="200" spans="1:19" x14ac:dyDescent="0.2">
      <c r="A200" s="66" t="s">
        <v>572</v>
      </c>
      <c r="B200" s="67"/>
      <c r="C200" s="67"/>
      <c r="D200" s="67"/>
      <c r="E200" s="67"/>
      <c r="F200" s="67"/>
      <c r="G200" s="67"/>
      <c r="H200" s="67"/>
      <c r="I200" s="64">
        <v>495178</v>
      </c>
      <c r="J200" s="64"/>
      <c r="K200" s="64"/>
      <c r="L200" s="64"/>
      <c r="M200" s="64"/>
      <c r="N200" s="64"/>
      <c r="O200" s="18"/>
      <c r="P200" s="19"/>
      <c r="Q200" s="18"/>
      <c r="R200" s="18"/>
      <c r="S200" s="18"/>
    </row>
    <row r="201" spans="1:19" x14ac:dyDescent="0.2">
      <c r="A201" s="66" t="s">
        <v>573</v>
      </c>
      <c r="B201" s="67"/>
      <c r="C201" s="67"/>
      <c r="D201" s="67"/>
      <c r="E201" s="67"/>
      <c r="F201" s="67"/>
      <c r="G201" s="67"/>
      <c r="H201" s="67"/>
      <c r="I201" s="64">
        <v>422575</v>
      </c>
      <c r="J201" s="64"/>
      <c r="K201" s="64"/>
      <c r="L201" s="64"/>
      <c r="M201" s="64"/>
      <c r="N201" s="64"/>
      <c r="O201" s="18"/>
      <c r="P201" s="19"/>
      <c r="Q201" s="18"/>
      <c r="R201" s="18"/>
      <c r="S201" s="18"/>
    </row>
    <row r="202" spans="1:19" x14ac:dyDescent="0.2">
      <c r="A202" s="66" t="s">
        <v>574</v>
      </c>
      <c r="B202" s="67"/>
      <c r="C202" s="67"/>
      <c r="D202" s="67"/>
      <c r="E202" s="67"/>
      <c r="F202" s="67"/>
      <c r="G202" s="67"/>
      <c r="H202" s="67"/>
      <c r="I202" s="64">
        <v>225734</v>
      </c>
      <c r="J202" s="64"/>
      <c r="K202" s="64"/>
      <c r="L202" s="64"/>
      <c r="M202" s="64"/>
      <c r="N202" s="64"/>
      <c r="O202" s="18"/>
      <c r="P202" s="19"/>
      <c r="Q202" s="18"/>
      <c r="R202" s="18"/>
      <c r="S202" s="18"/>
    </row>
    <row r="203" spans="1:19" ht="25.5" x14ac:dyDescent="0.2">
      <c r="A203" s="68" t="s">
        <v>575</v>
      </c>
      <c r="B203" s="69"/>
      <c r="C203" s="69"/>
      <c r="D203" s="69"/>
      <c r="E203" s="69"/>
      <c r="F203" s="69"/>
      <c r="G203" s="69"/>
      <c r="H203" s="69"/>
      <c r="I203" s="65">
        <v>2646654</v>
      </c>
      <c r="J203" s="65"/>
      <c r="K203" s="65"/>
      <c r="L203" s="65"/>
      <c r="M203" s="65"/>
      <c r="N203" s="65" t="s">
        <v>559</v>
      </c>
      <c r="O203" s="18"/>
      <c r="P203" s="19"/>
      <c r="Q203" s="18"/>
      <c r="R203" s="18"/>
      <c r="S203" s="18"/>
    </row>
    <row r="204" spans="1:19" x14ac:dyDescent="0.2">
      <c r="A204" s="17"/>
      <c r="B204" s="39"/>
      <c r="C204" s="39"/>
      <c r="D204" s="17"/>
      <c r="E204" s="36"/>
      <c r="F204" s="36"/>
      <c r="G204" s="36"/>
      <c r="H204" s="36"/>
      <c r="I204" s="40"/>
      <c r="J204" s="36"/>
      <c r="K204" s="36"/>
      <c r="L204" s="36"/>
      <c r="M204" s="36"/>
      <c r="O204" s="5"/>
      <c r="P204" s="5"/>
      <c r="Q204" s="5"/>
      <c r="R204" s="5"/>
      <c r="S204" s="5"/>
    </row>
    <row r="205" spans="1:19" x14ac:dyDescent="0.2">
      <c r="A205" s="17"/>
      <c r="B205" s="39"/>
      <c r="C205" s="39"/>
      <c r="D205" s="17"/>
      <c r="E205" s="36"/>
      <c r="F205" s="36"/>
      <c r="G205" s="36"/>
      <c r="H205" s="36"/>
      <c r="I205" s="40"/>
      <c r="J205" s="36"/>
      <c r="K205" s="36"/>
      <c r="L205" s="36"/>
      <c r="M205" s="36"/>
    </row>
    <row r="206" spans="1:19" x14ac:dyDescent="0.2">
      <c r="A206" s="17"/>
      <c r="B206" s="39"/>
      <c r="C206" s="41" t="s">
        <v>579</v>
      </c>
      <c r="D206" s="17"/>
      <c r="E206" s="36"/>
      <c r="F206" s="41" t="s">
        <v>28</v>
      </c>
      <c r="G206" s="41"/>
      <c r="H206" s="41"/>
      <c r="I206" s="36"/>
      <c r="J206" s="36"/>
      <c r="K206" s="36"/>
      <c r="L206" s="36"/>
      <c r="M206" s="36"/>
    </row>
  </sheetData>
  <mergeCells count="89">
    <mergeCell ref="I11:N13"/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70:H70"/>
    <mergeCell ref="A20:AI20"/>
    <mergeCell ref="A31:H31"/>
    <mergeCell ref="A32:H32"/>
    <mergeCell ref="A33:H33"/>
    <mergeCell ref="A34:H34"/>
    <mergeCell ref="A35:H35"/>
    <mergeCell ref="A36:AI36"/>
    <mergeCell ref="A66:H66"/>
    <mergeCell ref="A67:H67"/>
    <mergeCell ref="A68:H68"/>
    <mergeCell ref="A69:H69"/>
    <mergeCell ref="A120:H120"/>
    <mergeCell ref="A71:H71"/>
    <mergeCell ref="A72:H72"/>
    <mergeCell ref="A73:H73"/>
    <mergeCell ref="A74:AI74"/>
    <mergeCell ref="A113:H113"/>
    <mergeCell ref="A114:H114"/>
    <mergeCell ref="A115:H115"/>
    <mergeCell ref="A116:H116"/>
    <mergeCell ref="A117:H117"/>
    <mergeCell ref="A118:H118"/>
    <mergeCell ref="A119:H119"/>
    <mergeCell ref="A155:H155"/>
    <mergeCell ref="A121:AI121"/>
    <mergeCell ref="A133:H133"/>
    <mergeCell ref="A134:H134"/>
    <mergeCell ref="A135:H135"/>
    <mergeCell ref="A136:H136"/>
    <mergeCell ref="A137:H137"/>
    <mergeCell ref="A138:H138"/>
    <mergeCell ref="A139:H139"/>
    <mergeCell ref="A140:H140"/>
    <mergeCell ref="A141:AI141"/>
    <mergeCell ref="A154:H154"/>
    <mergeCell ref="A179:H179"/>
    <mergeCell ref="A156:H156"/>
    <mergeCell ref="A157:H157"/>
    <mergeCell ref="A158:H158"/>
    <mergeCell ref="A159:H159"/>
    <mergeCell ref="A160:H160"/>
    <mergeCell ref="A161:H161"/>
    <mergeCell ref="A162:AI162"/>
    <mergeCell ref="A175:H175"/>
    <mergeCell ref="A176:H176"/>
    <mergeCell ref="A177:H177"/>
    <mergeCell ref="A178:H178"/>
    <mergeCell ref="A194:H194"/>
    <mergeCell ref="A180:AI180"/>
    <mergeCell ref="A184:H184"/>
    <mergeCell ref="A185:H185"/>
    <mergeCell ref="A186:H186"/>
    <mergeCell ref="A187:H187"/>
    <mergeCell ref="A188:H188"/>
    <mergeCell ref="A189:H189"/>
    <mergeCell ref="A190:H190"/>
    <mergeCell ref="A191:H191"/>
    <mergeCell ref="A192:H192"/>
    <mergeCell ref="A193:H193"/>
    <mergeCell ref="A201:H201"/>
    <mergeCell ref="A202:H202"/>
    <mergeCell ref="A203:H203"/>
    <mergeCell ref="A195:H195"/>
    <mergeCell ref="A196:H196"/>
    <mergeCell ref="A197:H197"/>
    <mergeCell ref="A198:H198"/>
    <mergeCell ref="A199:H199"/>
    <mergeCell ref="A200:H200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2011-11-29T05:51:06Z</cp:lastPrinted>
  <dcterms:created xsi:type="dcterms:W3CDTF">2003-01-28T12:33:10Z</dcterms:created>
  <dcterms:modified xsi:type="dcterms:W3CDTF">2016-03-16T02:09:11Z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