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7500" windowHeight="4245" activeTab="0"/>
  </bookViews>
  <sheets>
    <sheet name="Лок.См.Расч.Баз.-Инд.Методом" sheetId="1" r:id="rId1"/>
    <sheet name="Переменные и константы" sheetId="2" r:id="rId2"/>
  </sheets>
  <definedNames>
    <definedName name="Дата_изменения_группы_строек">'Переменные и константы'!$B$3</definedName>
    <definedName name="Дата_изменения_локальной_сметы">'Переменные и константы'!$B$81</definedName>
    <definedName name="Дата_изменения_объекта">'Переменные и константы'!$B$47</definedName>
    <definedName name="Дата_изменения_объектной_сметы">'Переменные и константы'!$B$70</definedName>
    <definedName name="Дата_изменения_очереди">'Переменные и константы'!$B$14</definedName>
    <definedName name="Дата_изменения_пускового_комплекса">'Переменные и константы'!$B$25</definedName>
    <definedName name="Дата_изменения_сводного_сметного_расчета">'Переменные и константы'!$B$58</definedName>
    <definedName name="Дата_изменения_стройки">'Переменные и константы'!$B$36</definedName>
    <definedName name="Дата_создания_группы_строек">'Переменные и константы'!$B$4</definedName>
    <definedName name="Дата_создания_локальной_сметы">'Переменные и константы'!$B$82</definedName>
    <definedName name="Дата_создания_объекта">'Переменные и константы'!$B$48</definedName>
    <definedName name="Дата_создания_объектной_сметы">'Переменные и константы'!$B$71</definedName>
    <definedName name="Дата_создания_очереди">'Переменные и константы'!$B$15</definedName>
    <definedName name="Дата_создания_пускового_комплекса">'Переменные и константы'!$B$26</definedName>
    <definedName name="Дата_создания_сводного_сметного_расчета">'Переменные и константы'!$B$59</definedName>
    <definedName name="Дата_создания_стройки">'Переменные и константы'!$B$37</definedName>
    <definedName name="_xlnm.Print_Titles" localSheetId="0">'Лок.См.Расч.Баз.-Инд.Методом'!$15:$18</definedName>
    <definedName name="Заказчик">'Переменные и константы'!$B$108</definedName>
    <definedName name="Инвестор">'Переменные и константы'!$B$109</definedName>
    <definedName name="Индекс_ЛН_группы_строек">'Переменные и константы'!$B$2</definedName>
    <definedName name="Индекс_ЛН_локальной_сметы">'Переменные и константы'!$B$80</definedName>
    <definedName name="Индекс_ЛН_объекта">'Переменные и константы'!$B$46</definedName>
    <definedName name="Индекс_ЛН_объектной_сметы">'Переменные и константы'!$B$68</definedName>
    <definedName name="Индекс_ЛН_очереди">'Переменные и константы'!$B$13</definedName>
    <definedName name="Индекс_ЛН_пускового_комплекса">'Переменные и константы'!$B$24</definedName>
    <definedName name="Индекс_ЛН_сводного_сметного_расчета">'Переменные и константы'!$B$57</definedName>
    <definedName name="Индекс_ЛН_стройки">'Переменные и константы'!$B$35</definedName>
    <definedName name="Итого_ЗПМ__по_рес_расчету_с_учетом_к_тов">'Переменные и константы'!$B$196</definedName>
    <definedName name="Итого_ЗПМ_в_базисных_ценах">'Переменные и константы'!#REF!</definedName>
    <definedName name="Итого_ЗПМ_в_базисных_ценах_с_учетом_к_тов">'Переменные и константы'!#REF!</definedName>
    <definedName name="Итого_ЗПМ_по_акту_вып_работ_в_базисных_ценах_с_учетом_к_тов">'Переменные и константы'!$B$236</definedName>
    <definedName name="Итого_ЗПМ_по_акту_вып_работ_при_ресурсном_расчете_с_учетом_к_тов">'Переменные и константы'!$B$241</definedName>
    <definedName name="Итого_ЗПМ_по_акту_выполненных_работ_в_базисных_ценах">'Переменные и константы'!$B$217</definedName>
    <definedName name="Итого_ЗПМ_по_акту_выполненных_работ_при_ресурсном_расчете">'Переменные и константы'!$B$224</definedName>
    <definedName name="Итого_ЗПМ_при_расчете_по_стоимости_ч_часа_работы_механизаторов">'Переменные и константы'!$B$188</definedName>
    <definedName name="Итого_МАТ_по_акту_вып_работ_в_базисных_ценах_с_учетом_к_тов">'Переменные и константы'!$B$237</definedName>
    <definedName name="Итого_МАТ_по_акту_вып_работ_при_ресурсном_расчете_с_учетом_к_тов">'Переменные и константы'!$B$242</definedName>
    <definedName name="Итого_материалы">'Переменные и константы'!$B$190</definedName>
    <definedName name="Итого_материалы__по_рес_расчету_с_учетом_к_тов">'Переменные и константы'!$B$197</definedName>
    <definedName name="Итого_материалы_в_базисных_ценах">'Переменные и константы'!#REF!</definedName>
    <definedName name="Итого_материалы_в_базисных_ценах_с_учетом_к_тов">'Переменные и константы'!#REF!</definedName>
    <definedName name="Итого_материалы_по_акту_выполненных_работ_в_базисных_ценах">'Переменные и константы'!$B$219</definedName>
    <definedName name="Итого_материалы_по_акту_выполненных_работ_при_ресурсном_расчете">'Переменные и константы'!$B$226</definedName>
    <definedName name="Итого_машины_и_механизмы">'Переменные и константы'!$B$191</definedName>
    <definedName name="Итого_машины_и_механизмы_в_базисных_ценах">'Переменные и константы'!#REF!</definedName>
    <definedName name="Итого_машины_и_механизмы_по_акту_выполненных_работ_в_базисных_ценах">'Переменные и константы'!$B$220</definedName>
    <definedName name="Итого_машины_и_механизмы_по_акту_выполненных_работ_при_ресурсном_расчете">'Переменные и константы'!$B$227</definedName>
    <definedName name="Итого_НР_в_базисных_ценах">'Переменные и константы'!#REF!</definedName>
    <definedName name="Итого_НР_по_акту_в_базисных_ценах">'Переменные и константы'!#REF!</definedName>
    <definedName name="Итого_НР_по_акту_по_ресурсному_расчету">'Переменные и константы'!$B$190</definedName>
    <definedName name="Итого_НР_по_ресурсному_расчету">'Переменные и константы'!$B$190</definedName>
    <definedName name="Итого_ОЗП">'Переменные и константы'!$B$186</definedName>
    <definedName name="Итого_ОЗП_в_базисных_ценах">'Переменные и константы'!#REF!</definedName>
    <definedName name="Итого_ОЗП_в_базисных_ценах_с_учетом_к_тов">'Переменные и константы'!#REF!</definedName>
    <definedName name="Итого_ОЗП_по_акту_вып_работ_в_базисных_ценах_с_учетом_к_тов">'Переменные и константы'!$B$235</definedName>
    <definedName name="Итого_ОЗП_по_акту_вып_работ_при_ресурсном_расчете_с_учетом_к_тов">'Переменные и константы'!$B$240</definedName>
    <definedName name="Итого_ОЗП_по_акту_выполненных_работ_в_базисных_ценах">'Переменные и константы'!$B$216</definedName>
    <definedName name="Итого_ОЗП_по_акту_выполненных_работ_при_ресурсном_расчете">'Переменные и константы'!$B$223</definedName>
    <definedName name="Итого_ОЗП_по_рес_расчету_с_учетом_к_тов">'Переменные и константы'!$B$195</definedName>
    <definedName name="Итого_ПЗ">'Переменные и константы'!$B$185</definedName>
    <definedName name="Итого_ПЗ_в_базисных_ценах">'Переменные и константы'!$B$126</definedName>
    <definedName name="Итого_ПЗ_в_базисных_ценах_с_учетом_к_тов">'Переменные и константы'!#REF!</definedName>
    <definedName name="Итого_ПЗ_по_акту_вып_работ_в_базисных_ценах_с_учетом_к_тов">'Переменные и константы'!$B$234</definedName>
    <definedName name="Итого_ПЗ_по_акту_вып_работ_при_ресурсном_расчете_с_учетом_к_тов">'Переменные и константы'!$B$239</definedName>
    <definedName name="Итого_ПЗ_по_акту_выполненных_работ_в_базисных_ценах">'Переменные и константы'!$B$215</definedName>
    <definedName name="Итого_ПЗ_по_акту_выполненных_работ_при_ресурсном_расчете">'Переменные и константы'!$B$222</definedName>
    <definedName name="Итого_ПЗ_по_рес_расчету_с_учетом_к_тов">'Переменные и константы'!$B$194</definedName>
    <definedName name="Итого_СП_в_базисных_ценах">'Переменные и константы'!#REF!</definedName>
    <definedName name="Итого_СП_по_акту_в_базисных_ценах">'Переменные и константы'!#REF!</definedName>
    <definedName name="Итого_СП_по_акту_по_ресурсному_расчету">'Переменные и константы'!$B$190</definedName>
    <definedName name="Итого_СП_по_ресурсному_расчету">'Переменные и константы'!$B$190</definedName>
    <definedName name="Итого_ФОТ_в_базисных_ценах">'Переменные и константы'!#REF!</definedName>
    <definedName name="Итого_ФОТ_по_акту_выполненных_работ_в_базисных_ценах">'Переменные и константы'!$B$218</definedName>
    <definedName name="Итого_ФОТ_по_акту_выполненных_работ_при_ресурсном_расчете">'Переменные и константы'!$B$225</definedName>
    <definedName name="Итого_ФОТ_при_расчете_по_доле_з_п_в_стоимости_эксплуатации_машин">'Переменные и константы'!$B$189</definedName>
    <definedName name="Итого_ЭММ__по_рес_расчету_с_учетом_к_тов">'Переменные и константы'!$B$198</definedName>
    <definedName name="Итого_ЭММ_в_базисных_ценах_с_учетом_к_тов">'Переменные и константы'!#REF!</definedName>
    <definedName name="Итого_ЭММ_по_акту_вып_работ_в_базисных_ценах_с_учетом_к_тов">'Переменные и константы'!$B$238</definedName>
    <definedName name="Итого_ЭММ_по_акту_вып_работ_при_ресурсном_расчете_с_учетом_к_тов">'Переменные и константы'!$B$243</definedName>
    <definedName name="к_ЗПМ">'Переменные и константы'!$B$278</definedName>
    <definedName name="к_МАТ">'Переменные и константы'!$B$279</definedName>
    <definedName name="к_ОЗП">'Переменные и константы'!$B$276</definedName>
    <definedName name="к_ПЗ">'Переменные и константы'!$B$275</definedName>
    <definedName name="к_ЭМ">'Переменные и константы'!$B$277</definedName>
    <definedName name="Монтажные_работы_в_базисных_ценах">'Переменные и константы'!$B$123</definedName>
    <definedName name="Монтажные_работы_в_текущих_ценах">'Переменные и константы'!$B$160</definedName>
    <definedName name="Монтажные_работы_в_текущих_ценах_по_ресурсному_расчету">'Переменные и константы'!$B$160</definedName>
    <definedName name="Монтажные_работы_в_текущих_ценах_после_применения_индексов">'Переменные и константы'!$B$160</definedName>
    <definedName name="Наименование_группы_строек">'Переменные и константы'!$A$1</definedName>
    <definedName name="Наименование_локальной_сметы">'Переменные и константы'!$B$79</definedName>
    <definedName name="Наименование_объекта">'Переменные и константы'!$B$45</definedName>
    <definedName name="Наименование_объектной_сметы">'Переменные и константы'!$B$67</definedName>
    <definedName name="Наименование_очереди">'Переменные и константы'!$B$12</definedName>
    <definedName name="Наименование_пускового_комплекса">'Переменные и константы'!$B$23</definedName>
    <definedName name="Наименование_сводного_сметного_расчета">'Переменные и константы'!$B$56</definedName>
    <definedName name="Наименование_стройки">'Переменные и константы'!$B$34</definedName>
    <definedName name="Норм_трудоемкость_механизаторов_по_смете_с_учетом_к_тов">'Переменные и константы'!#REF!</definedName>
    <definedName name="Норм_трудоемкость_осн_рабочих_по_смете_с_учетом_к_тов">'Переменные и константы'!#REF!</definedName>
    <definedName name="Нормативная_трудоемкость_механизаторов_по_смете">'Переменные и константы'!#REF!</definedName>
    <definedName name="Нормативная_трудоемкость_основных_рабочих_по_смете">'Переменные и константы'!#REF!</definedName>
    <definedName name="Оборудование_в_базисных_ценах">'Переменные и константы'!$B$124</definedName>
    <definedName name="Оборудование_в_текущих_ценах">'Переменные и константы'!$B$161</definedName>
    <definedName name="Оборудование_в_текущих_ценах_по_ресурсному_расчету">'Переменные и константы'!$B$161</definedName>
    <definedName name="Оборудование_в_текущих_ценах_после_применения_индексов">'Переменные и константы'!$B$161</definedName>
    <definedName name="Обоснование_поправки">'Переменные и константы'!$B$280</definedName>
    <definedName name="Описание_группы_строек">'Переменные и константы'!$B$6</definedName>
    <definedName name="Описание_локальной_сметы">'Переменные и константы'!$B$84</definedName>
    <definedName name="Описание_объекта">'Переменные и константы'!$B$50</definedName>
    <definedName name="Описание_объектной_сметы">'Переменные и константы'!$B$73</definedName>
    <definedName name="Описание_очереди">'Переменные и константы'!$B$17</definedName>
    <definedName name="Описание_пускового_комплекса">'Переменные и константы'!$B$28</definedName>
    <definedName name="Описание_сводного_сметного_расчета">'Переменные и константы'!$B$61</definedName>
    <definedName name="Описание_стройки">'Переменные и константы'!$B$39</definedName>
    <definedName name="Основание">'Переменные и константы'!$B$105</definedName>
    <definedName name="Отчетный_период__учет_выполненных_работ">'Переменные и константы'!$B$211</definedName>
    <definedName name="Проверил">'Переменные и константы'!$B$107</definedName>
    <definedName name="Прочие_затраты_в_базисных_ценах">'Переменные и константы'!$B$125</definedName>
    <definedName name="Прочие_затраты_в_текущих_ценах">'Переменные и константы'!$B$162</definedName>
    <definedName name="Прочие_затраты_в_текущих_ценах_по_ресурсному_расчету">'Переменные и константы'!$B$162</definedName>
    <definedName name="Прочие_затраты_в_текущих_ценах_после_применения_индексов">'Переменные и константы'!$B$162</definedName>
    <definedName name="Районный_к_т_к_ЗП">'Переменные и константы'!#REF!</definedName>
    <definedName name="Районный_к_т_к_ЗП_по_ресурсному_расчету">'Переменные и константы'!#REF!</definedName>
    <definedName name="Регистрационный_номер_группы_строек">'Переменные и константы'!$B$5</definedName>
    <definedName name="Регистрационный_номер_локальной_сметы">'Переменные и константы'!$B$83</definedName>
    <definedName name="Регистрационный_номер_объекта">'Переменные и константы'!$B$49</definedName>
    <definedName name="Регистрационный_номер_объектной_сметы">'Переменные и константы'!$B$72</definedName>
    <definedName name="Регистрационный_номер_очереди">'Переменные и константы'!$B$16</definedName>
    <definedName name="Регистрационный_номер_пускового_комплекса">'Переменные и константы'!$B$27</definedName>
    <definedName name="Регистрационный_номер_сводного_сметного_расчета">'Переменные и константы'!$B$60</definedName>
    <definedName name="Регистрационный_номер_стройки">'Переменные и константы'!$B$38</definedName>
    <definedName name="Сметная_стоимость_в_базисных_ценах">'Переменные и константы'!$B$121</definedName>
    <definedName name="Сметная_стоимость_в_текущих_ценах__после_применения_индексов">'Переменные и константы'!$B$158</definedName>
    <definedName name="Сметная_стоимость_по_ресурсному_расчету">'Переменные и константы'!$B$180</definedName>
    <definedName name="Составил">'Переменные и константы'!$B$106</definedName>
    <definedName name="Стоимость_по_акту_выполненных_работ_в_базисных_ценах">'Переменные и константы'!$B$214</definedName>
    <definedName name="Стоимость_по_акту_выполненных_работ_при_ресурсном_расчете">'Переменные и константы'!$B$221</definedName>
    <definedName name="Строительные_работы_в_базисных_ценах">'Переменные и константы'!$B$122</definedName>
    <definedName name="Строительные_работы_в_текущих_ценах">'Переменные и константы'!$B$159</definedName>
    <definedName name="Строительные_работы_в_текущих_ценах_по_ресурсному_расчету">'Переменные и константы'!$B$159</definedName>
    <definedName name="Строительные_работы_в_текущих_ценах_после_применения_индексов">'Переменные и константы'!$B$159</definedName>
    <definedName name="Территориальная_поправка_к_ТЕР">'Переменные и константы'!$B$274</definedName>
    <definedName name="Труд_механизаторов_по_акту_вып_работ_с_учетом_к_тов">'Переменные и константы'!$B$233</definedName>
    <definedName name="Труд_основн_рабочих_по_акту_вып_работ_с_учетом_к_тов">'Переменные и константы'!$B$232</definedName>
    <definedName name="Трудоемкость_механизаторов_по_акту_выполненных_работ">'Переменные и константы'!$B$213</definedName>
    <definedName name="Трудоемкость_основных_рабочих_по_акту_выполненных_работ">'Переменные и константы'!$B$212</definedName>
    <definedName name="Укрупненный_норматив_НР_для_расчета_в_текущих_ценах_и_ценах_2001г.">'Переменные и константы'!$B$252</definedName>
    <definedName name="Укрупненный_норматив_НР_для_расчета_в_ценах_1984г.">'Переменные и константы'!$B$254</definedName>
    <definedName name="Укрупненный_норматив_СП_для_расчета_в_текущих_ценах_и_ценах_2001г.">'Переменные и константы'!$B$253</definedName>
    <definedName name="Укрупненный_норматив_СП_для_расчета_в_ценах_1984г.">'Переменные и константы'!$B$255</definedName>
  </definedNames>
  <calcPr fullCalcOnLoad="1"/>
</workbook>
</file>

<file path=xl/comments1.xml><?xml version="1.0" encoding="utf-8"?>
<comments xmlns="http://schemas.openxmlformats.org/spreadsheetml/2006/main">
  <authors>
    <author>&lt;&gt;</author>
    <author>Rus</author>
    <author>Proba</author>
    <author>wall</author>
  </authors>
  <commentList>
    <comment ref="A19" authorId="0">
      <text>
        <r>
          <rPr>
            <sz val="8"/>
            <rFont val="Tahoma"/>
            <family val="2"/>
          </rPr>
          <t xml:space="preserve">  &lt;Номер позиции по смете&gt;</t>
        </r>
      </text>
    </comment>
    <comment ref="B19" authorId="0">
      <text>
        <r>
          <rPr>
            <sz val="8"/>
            <rFont val="Tahoma"/>
            <family val="2"/>
          </rPr>
          <t xml:space="preserve">    &lt;Обоснование (код) позиции&gt;
&lt;Примечание&gt;
--------------------
&lt;Комментарии из базы данных к расценке&gt;</t>
        </r>
      </text>
    </comment>
    <comment ref="C19" authorId="0">
      <text>
        <r>
          <rPr>
            <sz val="8"/>
            <rFont val="Tahoma"/>
            <family val="2"/>
          </rPr>
          <t xml:space="preserve">  &lt;Наименование (текстовая часть) расценки&gt;, &lt;Ед. измерения по расценке&gt;
&lt;Обоснование коэффициентов&gt;
&lt;Формула расчета стоимости единицы&gt;
&lt;Строка задания НР для БИМ&gt;
&lt;Строка задания СП для БИМ&gt;
&lt;Пустой идентификатор&gt;
_______
&lt;Примечание&gt;
</t>
        </r>
      </text>
    </comment>
    <comment ref="D19" authorId="0">
      <text>
        <r>
          <rPr>
            <b/>
            <sz val="8"/>
            <rFont val="Tahoma"/>
            <family val="2"/>
          </rPr>
          <t xml:space="preserve">  &lt;Количество всего (физ. объем) по позиции&gt;
&lt;Формула расчета физ. объема&gt;</t>
        </r>
      </text>
    </comment>
    <comment ref="M19" authorId="0">
      <text>
        <r>
          <rPr>
            <b/>
            <sz val="8"/>
            <rFont val="Tahoma"/>
            <family val="2"/>
          </rPr>
          <t xml:space="preserve">  &lt;ТЗ по позиции на единицу&gt;
&lt;ТЗМ по позиции на единицу&gt;</t>
        </r>
      </text>
    </comment>
    <comment ref="C233" authorId="0">
      <text>
        <r>
          <rPr>
            <b/>
            <sz val="8"/>
            <rFont val="Tahoma"/>
            <family val="2"/>
          </rPr>
          <t xml:space="preserve">  ______________&lt;Составил&gt;</t>
        </r>
      </text>
    </comment>
    <comment ref="F233" authorId="0">
      <text>
        <r>
          <rPr>
            <b/>
            <sz val="8"/>
            <rFont val="Tahoma"/>
            <family val="2"/>
          </rPr>
          <t xml:space="preserve">  ______________&lt;Проверил&gt;</t>
        </r>
      </text>
    </comment>
    <comment ref="J19" authorId="0">
      <text>
        <r>
          <rPr>
            <b/>
            <sz val="8"/>
            <rFont val="Tahoma"/>
            <family val="2"/>
          </rPr>
          <t xml:space="preserve"> &lt;Общая стоимость ОЗП по позиции для БИМ до начисления НР и СП&gt;
</t>
        </r>
      </text>
    </comment>
    <comment ref="K19" authorId="0">
      <text>
        <r>
          <rPr>
            <b/>
            <sz val="8"/>
            <rFont val="Tahoma"/>
            <family val="2"/>
          </rPr>
          <t xml:space="preserve"> &lt;Общая стоимость ЭММ по позиции для БИМ до начисления НР и СП&gt;
&lt;Общая стоимость ЗПМ по позиции для БИМ до начисления НР и СП&gt;</t>
        </r>
      </text>
    </comment>
    <comment ref="A202" authorId="0">
      <text>
        <r>
          <rPr>
            <b/>
            <sz val="8"/>
            <rFont val="Tahoma"/>
            <family val="2"/>
          </rPr>
          <t xml:space="preserve">  &lt;Текстовая часть (итоги)&gt;</t>
        </r>
      </text>
    </comment>
    <comment ref="I202" authorId="0">
      <text>
        <r>
          <rPr>
            <b/>
            <sz val="8"/>
            <rFont val="Tahoma"/>
            <family val="2"/>
          </rPr>
          <t xml:space="preserve">  &lt;Прямые затраты (итоги)&gt;</t>
        </r>
      </text>
    </comment>
    <comment ref="J202" authorId="0">
      <text>
        <r>
          <rPr>
            <b/>
            <sz val="8"/>
            <rFont val="Tahoma"/>
            <family val="2"/>
          </rPr>
          <t xml:space="preserve">  &lt;З/п основных рабочих (итоги)&gt;</t>
        </r>
      </text>
    </comment>
    <comment ref="K202" authorId="0">
      <text>
        <r>
          <rPr>
            <b/>
            <sz val="8"/>
            <rFont val="Tahoma"/>
            <family val="2"/>
          </rPr>
          <t xml:space="preserve">  &lt;Эксплуатация машин (итоги)&gt;
&lt;З/п машинистов (итоги)&gt;</t>
        </r>
      </text>
    </comment>
    <comment ref="H19" authorId="1">
      <text>
        <r>
          <rPr>
            <sz val="8"/>
            <rFont val="Tahoma"/>
            <family val="2"/>
          </rPr>
          <t xml:space="preserve"> &lt;Наименование индекса к позиции&gt;: ОЗП=&lt;Индекс к позиции на ОЗП&gt;; ЭМ=&lt;Индекс к позиции на ЭМ&gt;; ЗПМ=&lt;Индекс к позиции на ЗПМ&gt;; МАТ=&lt;Индекс к позиции на МАТ&gt;
&lt;Дополнительные начисления к индексу&gt;
&lt;Пустой идентификатор&gt;</t>
        </r>
      </text>
    </comment>
    <comment ref="I19" authorId="0">
      <text>
        <r>
          <rPr>
            <b/>
            <sz val="8"/>
            <rFont val="Tahoma"/>
            <family val="2"/>
          </rPr>
          <t xml:space="preserve">  &lt;Общая стоимость ПЗ по позиции для БИМ до начисления НР и СП&gt;
</t>
        </r>
      </text>
    </comment>
    <comment ref="N19" authorId="2">
      <text>
        <r>
          <rPr>
            <b/>
            <sz val="8"/>
            <rFont val="Tahoma"/>
            <family val="2"/>
          </rPr>
          <t xml:space="preserve"> &lt;ТЗ по позиции всего&gt;
&lt;ТЗМ по позиции всего&gt;</t>
        </r>
        <r>
          <rPr>
            <sz val="8"/>
            <rFont val="Tahoma"/>
            <family val="2"/>
          </rPr>
          <t xml:space="preserve">
</t>
        </r>
      </text>
    </comment>
    <comment ref="F1" authorId="0">
      <text>
        <r>
          <rPr>
            <b/>
            <sz val="8"/>
            <rFont val="Tahoma"/>
            <family val="2"/>
          </rPr>
          <t xml:space="preserve">  &lt;Наименование стройки&gt;</t>
        </r>
      </text>
    </comment>
    <comment ref="F4" authorId="2">
      <text>
        <r>
          <rPr>
            <b/>
            <sz val="8"/>
            <rFont val="Tahoma"/>
            <family val="2"/>
          </rPr>
          <t xml:space="preserve"> &lt;Индекс/ЛН локальной сметы&gt;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 xml:space="preserve">  &lt;ПЗ по позиции на единицу в базисных ценах с учетом всех к-тов&gt;</t>
        </r>
        <r>
          <rPr>
            <b/>
            <sz val="8"/>
            <rFont val="Tahoma"/>
            <family val="2"/>
          </rPr>
          <t xml:space="preserve">
&lt;ОЗП по позиции на единицу в базисных ценах с учетом всех к-тов&gt;</t>
        </r>
      </text>
    </comment>
    <comment ref="F19" authorId="0">
      <text>
        <r>
          <rPr>
            <b/>
            <sz val="8"/>
            <rFont val="Tahoma"/>
            <family val="2"/>
          </rPr>
          <t xml:space="preserve">  &lt;ЭММ по позиции на единицу в базисных ценах с учетом всех к-тов&gt;
&lt;ЗПМ по позиции на единицу в базисных ценах с учетом всех к-тов&gt;</t>
        </r>
      </text>
    </comment>
    <comment ref="G19" authorId="2">
      <text>
        <r>
          <rPr>
            <b/>
            <sz val="8"/>
            <rFont val="Tahoma"/>
            <family val="2"/>
          </rPr>
          <t xml:space="preserve"> &lt;МАТ по позиции на единицу в базисных ценах с учетом всех к-тов&gt;</t>
        </r>
        <r>
          <rPr>
            <sz val="8"/>
            <rFont val="Tahoma"/>
            <family val="2"/>
          </rPr>
          <t xml:space="preserve">
</t>
        </r>
      </text>
    </comment>
    <comment ref="L19" authorId="2">
      <text>
        <r>
          <rPr>
            <b/>
            <sz val="8"/>
            <rFont val="Tahoma"/>
            <family val="2"/>
          </rPr>
          <t xml:space="preserve"> =IF(&lt;Количество всего (физ. объем) по позиции&gt;*&lt;МАТ по позиции на единицу в базисных ценах с учетом всех к-тов&gt;=0," ",TEXT(,ROUND((&lt;Количество всего (физ. объем) по позиции&gt;*&lt;МАТ по позиции на единицу в базисных ценах с учетом всех к-тов&gt;*&lt;Индекс к позиции на МАТ&gt;),2)))</t>
        </r>
        <r>
          <rPr>
            <sz val="8"/>
            <rFont val="Tahoma"/>
            <family val="2"/>
          </rPr>
          <t xml:space="preserve">
</t>
        </r>
      </text>
    </comment>
    <comment ref="L202" authorId="2">
      <text>
        <r>
          <rPr>
            <b/>
            <sz val="8"/>
            <rFont val="Tahoma"/>
            <family val="2"/>
          </rPr>
          <t xml:space="preserve"> &lt;Материалы (итоги)&gt;</t>
        </r>
        <r>
          <rPr>
            <sz val="8"/>
            <rFont val="Tahoma"/>
            <family val="2"/>
          </rPr>
          <t xml:space="preserve">
</t>
        </r>
      </text>
    </comment>
    <comment ref="N202" authorId="2">
      <text>
        <r>
          <rPr>
            <b/>
            <sz val="8"/>
            <rFont val="Tahoma"/>
            <family val="2"/>
          </rPr>
          <t xml:space="preserve">  &lt;Трудозатраты основных рабочих (итоги)&gt;
&lt;Трудозатраты машинистов (итоги)&gt;</t>
        </r>
        <r>
          <rPr>
            <sz val="8"/>
            <rFont val="Tahoma"/>
            <family val="2"/>
          </rPr>
          <t xml:space="preserve">
</t>
        </r>
      </text>
    </comment>
    <comment ref="D7" authorId="0">
      <text>
        <r>
          <rPr>
            <b/>
            <sz val="8"/>
            <rFont val="Tahoma"/>
            <family val="2"/>
          </rPr>
          <t xml:space="preserve">  &lt;Наименование локальной сметы&gt;, &lt;Наименование объекта&gt;</t>
        </r>
      </text>
    </comment>
    <comment ref="D12" authorId="3">
      <text>
        <r>
          <rPr>
            <b/>
            <sz val="8"/>
            <rFont val="Tahoma"/>
            <family val="2"/>
          </rPr>
          <t xml:space="preserve"> &lt;Итого ФОТ&gt;</t>
        </r>
      </text>
    </comment>
    <comment ref="A10" authorId="3">
      <text>
        <r>
          <rPr>
            <b/>
            <sz val="8"/>
            <rFont val="Tahoma"/>
            <family val="2"/>
          </rPr>
          <t xml:space="preserve"> &lt;Основание&gt;
</t>
        </r>
      </text>
    </comment>
    <comment ref="C11" authorId="3">
      <text>
        <r>
          <rPr>
            <b/>
            <sz val="8"/>
            <rFont val="Tahoma"/>
            <family val="2"/>
          </rPr>
          <t xml:space="preserve"> &lt;Итого по расчету&gt;</t>
        </r>
      </text>
    </comment>
  </commentList>
</comments>
</file>

<file path=xl/sharedStrings.xml><?xml version="1.0" encoding="utf-8"?>
<sst xmlns="http://schemas.openxmlformats.org/spreadsheetml/2006/main" count="956" uniqueCount="778">
  <si>
    <t xml:space="preserve">84.34 Устройство покрытия из рулонных материалов: насухо без промазки кромок: ОЗП=16,9; ЭМ=11,82; ЗПМ=16,9; МАТ=5,01
 </t>
  </si>
  <si>
    <t>ФССЦ-101-0852
--------------------
Приказ Минстроя России от 12.11.14 №703/пр</t>
  </si>
  <si>
    <t xml:space="preserve">Рубероид кровельный с крупнозернистой посыпкой марки: РКК-350б, м2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 </t>
  </si>
  <si>
    <t xml:space="preserve">Рубероид кровельный с крупнозернистой посыпкой марки: РКК-350б; МАТ=5,004
 </t>
  </si>
  <si>
    <t>ФССЦ-101-7200
--------------------
Приказ Минстроя России от 12.11.14 №703/пр</t>
  </si>
  <si>
    <t xml:space="preserve">ИЗОСПАН: D, 10 м2
 </t>
  </si>
  <si>
    <t xml:space="preserve">ТССЦ-104-9221-90004  19,49/37,5/10=5,197; МАТ=5,197
 </t>
  </si>
  <si>
    <t>ТССЦ-104-9221-90005</t>
  </si>
  <si>
    <t xml:space="preserve">Изоспан: Монтажные соединительные ленты марки SL    10,31/5,56, м
 </t>
  </si>
  <si>
    <t xml:space="preserve">Сталь оцинкованная в рулонах толщиной 0,5 мм, с полимерным покрытием (коньки,примыкания, по скату, фартуки), т
 </t>
  </si>
  <si>
    <t>0,34655
3,84*85,95*1,05/1000</t>
  </si>
  <si>
    <t>ФЕР12-01-017-01
--------------------
Приказ Минстроя России от 12.11.14 №703/пр</t>
  </si>
  <si>
    <t xml:space="preserve">Устройство выравнивающих стяжек: цементно-песчаных толщиной 15 мм, 100 м2 стяжки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92%=120%*(0.9*0.85) от ФОТ
СП 44%=65%*(0.85*0.8) от ФОТ
 </t>
  </si>
  <si>
    <t>1340,53
270,46</t>
  </si>
  <si>
    <t>238,1
27,33</t>
  </si>
  <si>
    <t xml:space="preserve">12.43. Устройство выравнивающих стяжек: цементно-песчаных: ОЗП=16,9; ЭМ=8,58; ЗПМ=16,9; МАТ=5,74
 </t>
  </si>
  <si>
    <t>174
39</t>
  </si>
  <si>
    <t>31,303
2,425</t>
  </si>
  <si>
    <t>2,66
0,21</t>
  </si>
  <si>
    <t>ФЕР12-01-017-02
--------------------
Приказ Минстроя России от 12.11.14 №703/пр</t>
  </si>
  <si>
    <t xml:space="preserve">Устройство выравнивающих стяжек: на каждый 1 мм изменения толщины добавлять или исключать к расценке 12-01-017-01, 100 м2 стяжки
(ПЗ=5 (ОЗП=5; ЭМ=5 к расх.; ЗПМ=5; МАТ=5 к расх.; ТЗ=5; ТЗМ=5);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92%=120%*(0.9*0.85) от ФОТ
СП 44%=65%*(0.85*0.8) от ФОТ
 </t>
  </si>
  <si>
    <t>331,41
49,68</t>
  </si>
  <si>
    <t>16,63
2,13</t>
  </si>
  <si>
    <t>12
3</t>
  </si>
  <si>
    <t>5,75
0,1875</t>
  </si>
  <si>
    <t>0,49
0,02</t>
  </si>
  <si>
    <t>ФЕР09-05-006-01
--------------------
Приказ Минстроя РФ от 30.01.14 №31/пр</t>
  </si>
  <si>
    <t xml:space="preserve">Резка стального профилированного настила, 1 м реза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69%=90%*(0.9*0.85) от ФОТ
СП 58%=85%*(0.85*0.8) от ФОТ
 </t>
  </si>
  <si>
    <t>4,2
3,51</t>
  </si>
  <si>
    <t xml:space="preserve">9.74 Резка стального профилированного настила: ОЗП=16,9; ЭМ=2,04; ЗПМ=16,9
 </t>
  </si>
  <si>
    <t>ФЕР12-01-010-01
--------------------
Приказ Минстроя РФ от 30.01.14 №31/пр</t>
  </si>
  <si>
    <t xml:space="preserve">Устройство капельника, 100 м2 покрытия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92%=120%*(0.9*0.85) от ФОТ
СП 44%=65%*(0.85*0.8) от ФОТ
 </t>
  </si>
  <si>
    <t>10025,83
1106,02</t>
  </si>
  <si>
    <t>29,23
3,38</t>
  </si>
  <si>
    <t xml:space="preserve">12.27. Устройство мелких покрытий (брандмауэры, парапеты, свесы и т.п.) из листовой оцинкованной стали: ОЗП=16,9; ЭМ=12,04; ЗПМ=16,9; МАТ=3,48
 </t>
  </si>
  <si>
    <t>113
18</t>
  </si>
  <si>
    <t>129,6625
0,25</t>
  </si>
  <si>
    <t>41,49
0,08</t>
  </si>
  <si>
    <t>ФССЦ-101-1875
--------------------
Приказ Минстроя России от 12.11.14 №703/пр</t>
  </si>
  <si>
    <t xml:space="preserve">Сталь листовая оцинкованная толщиной листа:0,7 мм; МАТ=3,474
 </t>
  </si>
  <si>
    <t>0,129024
3,84*32*1,05/1000</t>
  </si>
  <si>
    <t xml:space="preserve">Обивка слуховых окон оцинкованной кровельной сталью: по дереву с одной стороны, 100 м2 проемов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90%=118%*(0.9*0.85) от ФОТ
СП 43%=63%*(0.85*0.8) от ФОТ
 </t>
  </si>
  <si>
    <t>14
1</t>
  </si>
  <si>
    <t>5,23
0,01</t>
  </si>
  <si>
    <t>0,022982
3,84*5,7*1,05/1000</t>
  </si>
  <si>
    <t xml:space="preserve">Монтаж страховочного троса, 100 м ограждения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92%=120%*(0.9*0.85) от ФОТ
СП 44%=65%*(0.85*0.8) от ФОТ
 </t>
  </si>
  <si>
    <t>197
23</t>
  </si>
  <si>
    <t>2,15
0,1</t>
  </si>
  <si>
    <t>ФССЦ-509-0801
--------------------
Приказ Минстроя России от 12.11.14 №703/пр</t>
  </si>
  <si>
    <t xml:space="preserve">Трос стальной, м
 </t>
  </si>
  <si>
    <t xml:space="preserve">Трос стальной; МАТ=6,919
 </t>
  </si>
  <si>
    <t>ФССЦ-502-0632
--------------------
Приказ Минстроя России от 12.11.14 №703/пр</t>
  </si>
  <si>
    <t xml:space="preserve">Кольцо опорное, 10 шт.
 </t>
  </si>
  <si>
    <t xml:space="preserve">Кольцо опорное; МАТ=2,257
 </t>
  </si>
  <si>
    <t xml:space="preserve">Установка элементов каркаса: из брусьев (лестница к слуховым окнам), 1 м3 древесины в конструкции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90%=118%*(0.9*0.85) от ФОТ
СП 43%=63%*(0.85*0.8) от ФОТ
 </t>
  </si>
  <si>
    <t xml:space="preserve">Устройство переходного мостика, 100 м ограждения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92%=120%*(0.9*0.85) от ФОТ
СП 44%=65%*(0.85*0.8) от ФОТ
 </t>
  </si>
  <si>
    <t>17
2</t>
  </si>
  <si>
    <t>0,19
0,01</t>
  </si>
  <si>
    <t>ФССЦ-201-0599
--------------------
Приказ Минстроя России от 12.11.14 №703/пр</t>
  </si>
  <si>
    <t xml:space="preserve">Площадки просадочные, мостики, кронштейны, маршевые лестницы, пожарные щиты переходных площадок, ограждений, т
 </t>
  </si>
  <si>
    <t xml:space="preserve">Площадки просадочные, мостики, кронштейны, маршевые лестницы, пожарные щиты переходных площадок, ограждений; МАТ=6,053
 </t>
  </si>
  <si>
    <t>ФЕР10-01-059-01, применит
--------------------
Приказ Минстроя РФ от 30.01.14 №31/пр</t>
  </si>
  <si>
    <t xml:space="preserve">Установка  оконных блоков-фронтон, 100 шт. изделий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90%=118%*(0.9*0.85) от ФОТ
СП 43%=63%*(0.85*0.8) от ФОТ
 </t>
  </si>
  <si>
    <t>2663,19
693,11</t>
  </si>
  <si>
    <t>336,74
29,2</t>
  </si>
  <si>
    <t xml:space="preserve">10.131 Установка штучных изделий: ОЗП=16,9; ЭМ=10,93; ЗПМ=16,9; МАТ=2,33
 </t>
  </si>
  <si>
    <t>74
10</t>
  </si>
  <si>
    <t>86,4225
2,1625</t>
  </si>
  <si>
    <t>1,73
0,04</t>
  </si>
  <si>
    <t>ФССЦ-203-0267
--------------------
Приказ Минстроя России от 12.11.14 №703/пр</t>
  </si>
  <si>
    <t xml:space="preserve">Створки фрамужные:  пл. 0.4-0.6 м2; МАТ=6,733
 </t>
  </si>
  <si>
    <t>39766
2280</t>
  </si>
  <si>
    <t>1143,25
10,37</t>
  </si>
  <si>
    <t>Итоги по разделу 2 Устройство крыши :</t>
  </si>
  <si>
    <t xml:space="preserve">  Стены (ремонтно-строительные)</t>
  </si>
  <si>
    <t xml:space="preserve">  Конструкции из кирпича и блоков</t>
  </si>
  <si>
    <t xml:space="preserve">  Деревянные конструкции</t>
  </si>
  <si>
    <t>551,48
2,07</t>
  </si>
  <si>
    <t>112,2
1,36</t>
  </si>
  <si>
    <t xml:space="preserve">  Материалы для строительных работ</t>
  </si>
  <si>
    <t xml:space="preserve">  Теплоизоляционные работы</t>
  </si>
  <si>
    <t xml:space="preserve">  Строительные металлические конструкции</t>
  </si>
  <si>
    <t>55,23
0,14</t>
  </si>
  <si>
    <t xml:space="preserve">  Защита строительных конструкций и оборудования от коррозии</t>
  </si>
  <si>
    <t>222,88
4,3</t>
  </si>
  <si>
    <t xml:space="preserve">  Материалы</t>
  </si>
  <si>
    <t xml:space="preserve">      Материалы</t>
  </si>
  <si>
    <t xml:space="preserve">  Итого по разделу 2 Устройство крыши</t>
  </si>
  <si>
    <t xml:space="preserve">                           Раздел 3. Утепление вентканалов</t>
  </si>
  <si>
    <t>ФЕР08-02-001-09
--------------------
Приказ Минстроя РФ от 30.01.14 №31/пр</t>
  </si>
  <si>
    <t xml:space="preserve">Кладка стен приямков и каналов, 1 м3 кладки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93%=122%*(0.9*0.85) от ФОТ
СП 54%=80%*(0.85*0.8) от ФОТ
 </t>
  </si>
  <si>
    <t>929,85
67,65</t>
  </si>
  <si>
    <t>38,88
6,08</t>
  </si>
  <si>
    <t xml:space="preserve">8.14. Кладка стен из кирпича: ОЗП=16,9; ЭМ=12,12; ЗПМ=16,9; МАТ=4,7
 </t>
  </si>
  <si>
    <t>1630
355</t>
  </si>
  <si>
    <t>8,142
0,45</t>
  </si>
  <si>
    <t>28,17
1,56</t>
  </si>
  <si>
    <t>ФЕР26-01-054-01
--------------------
Приказ Минстроя РФ от 30.01.14 №31/пр</t>
  </si>
  <si>
    <t xml:space="preserve">Обертывание поверхности изоляции рулонными материалами насухо с проклейкой швов, 100 м2 поверхности покрытия изоляции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77%=100%*(0.9*0.85) от ФОТ
СП 48%=70%*(0.85*0.8) от ФОТ
 </t>
  </si>
  <si>
    <t>1785,63
317,76</t>
  </si>
  <si>
    <t xml:space="preserve">26.71 Обертывание поверхности изоляции рулонными материалами насухо с проклейкой швов: ОЗП=16,9; ЭМ=10,73; ЗПМ=16,9; МАТ=9,72
 </t>
  </si>
  <si>
    <t>ФССЦ-101-1794
--------------------
Приказ Минстроя России от 12.11.14 №703/пр</t>
  </si>
  <si>
    <t xml:space="preserve">Бризол, 1000 м2
 </t>
  </si>
  <si>
    <t xml:space="preserve">Бризол; МАТ=11,969
 </t>
  </si>
  <si>
    <t>ФССЦ-104-0077
--------------------
Приказ Минстроя России от 12.11.14 №703/пр</t>
  </si>
  <si>
    <t xml:space="preserve">Стеклопластик рулонный марки: РСТ-А-Л-В, 1000 м2
 </t>
  </si>
  <si>
    <t xml:space="preserve">Стеклопластик рулонный марки:РСТ-А-Л-В; МАТ=1,538
 </t>
  </si>
  <si>
    <t>ФЕР26-01-055-02
--------------------
Приказ Минстроя РФ от 30.01.14 №31/пр</t>
  </si>
  <si>
    <t xml:space="preserve">Установка пароизоляционного слоя из: пленки полиэтиленовой (без стекловолокнистых материалов), 100 м2 поверхности покрытия изоляции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77%=100%*(0.9*0.85) от ФОТ
СП 48%=70%*(0.85*0.8) от ФОТ
 </t>
  </si>
  <si>
    <t>1557,25
144,34</t>
  </si>
  <si>
    <t xml:space="preserve">26.74 Установка пароизоляционного слоя из пленки полиэтиленовой: ОЗП=16,9; ЭМ=11,82; ЗПМ=16,9; МАТ=2,49
 </t>
  </si>
  <si>
    <t>ФССЦ-101-3594
--------------------
Приказ Минстроя России от 12.11.14 №703/пр</t>
  </si>
  <si>
    <t xml:space="preserve">Лента полиэтиленовая с липким слоем А50; МАТ=7,316
 </t>
  </si>
  <si>
    <t>ФССЦ-113-1952
--------------------
Приказ Минстроя России от 12.11.14 №703/пр</t>
  </si>
  <si>
    <t xml:space="preserve">Пленка полиэтиленовая толщиной 0,2-0,5 мм, изоловая; МАТ=1,222
 </t>
  </si>
  <si>
    <t>ФССЦ-101-7198
--------------------
Приказ Минстроя России от 12.11.14 №703/пр</t>
  </si>
  <si>
    <t xml:space="preserve">ИЗОСПАН: В, 10 м2
 </t>
  </si>
  <si>
    <t xml:space="preserve">ТССЦ-104-9221-90004 14,62/27,5/10=5,316; МАТ=5,316
 </t>
  </si>
  <si>
    <t>ФЕР26-01-036-01
--------------------
Приказ Минстроя РФ от 30.01.14 №31/пр</t>
  </si>
  <si>
    <t xml:space="preserve">Изоляция изделиями из волокнистых и зернистых материалов с креплением на клее и дюбелями холодных поверхностей: наружных стен, 100 м2 поверхности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77%=100%*(0.9*0.85) от ФОТ
СП 48%=70%*(0.85*0.8) от ФОТ
 </t>
  </si>
  <si>
    <t>269,35
152,18</t>
  </si>
  <si>
    <t>11,73
0,51</t>
  </si>
  <si>
    <t xml:space="preserve">26.40 Изоляция изделиями из волокнистых и зернистых материалов с креплением на клее и дюбелями холодных поверхностей: наружных стен: ОЗП=16,9; ЭМ=9,6; ЗПМ=16,9; МАТ=1,39
 </t>
  </si>
  <si>
    <t>38
3</t>
  </si>
  <si>
    <t>18,469
0,0375</t>
  </si>
  <si>
    <t>6,3
0,01</t>
  </si>
  <si>
    <t>Каталог ТССЦ :104-9100-91004</t>
  </si>
  <si>
    <t xml:space="preserve">Плиты теплоизоляционные энергетические гидрофобизированные базальтовые: ПТЭ-125 , размером 2000х1000х50 мм 4146.89/5,56, м3
 </t>
  </si>
  <si>
    <t xml:space="preserve">Установка элементов каркаса: из брусьев, 1 м3 древесины в конструкции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90%=118%*(0.9*0.85) от ФОТ
СП 43%=63%*(0.85*0.8) от ФОТ
 </t>
  </si>
  <si>
    <t>ФЕР26-01-053-01
--------------------
Приказ Минстроя РФ от 30.01.14 №31/пр</t>
  </si>
  <si>
    <t xml:space="preserve">Покрытие изоляции плоских (криволинейных) поверхностей листовым металлом с заготовкой покрытия, 100 м2 поверхности покрытия изоляции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77%=100%*(0.9*0.85) от ФОТ
СП 48%=70%*(0.85*0.8) от ФОТ
 </t>
  </si>
  <si>
    <t>10694,04
1455,58</t>
  </si>
  <si>
    <t xml:space="preserve">26.69 Покрытие изоляции плоских (криволинейных) поверхностей листовым металлом с заготовкой покрытия: ОЗП=16,9; ЭМ=8,15; ЗПМ=16,9; МАТ=3,77
 </t>
  </si>
  <si>
    <t>ФССЦ-101-1876
--------------------
Приказ Минстроя России от 12.11.14 №703/пр</t>
  </si>
  <si>
    <t xml:space="preserve">Сталь листовая оцинкованная толщиной листа: 0,8 мм, т
 </t>
  </si>
  <si>
    <t xml:space="preserve">Сталь листовая оцинкованная толщиной листа:0,8 мм; МАТ=3,776
 </t>
  </si>
  <si>
    <t>0,088704
3,84*22*1,05/1000</t>
  </si>
  <si>
    <t>ФЕР15-02-016-01
--------------------
Приказ Минстроя России от 12.11.14 №703/пр</t>
  </si>
  <si>
    <t xml:space="preserve">Штукатурка поверхностей внутри здания цементно-известковым или цементным раствором по камню и бетону: простая стен, 100 м2 оштукатуриваемой поверхности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80%=105%*(0.9*0.85) от ФОТ
СП 37%=55%*(0.85*0.8) от ФОТ
 </t>
  </si>
  <si>
    <t>1772,36
786,46</t>
  </si>
  <si>
    <t>120,63
71,18</t>
  </si>
  <si>
    <t xml:space="preserve">15.85 Оштукатуривание поверхностей цементно-известковым или цементным раствором: ОЗП=16,9; ЭМ=10,91; ЗПМ=16,9; МАТ=6,43
 </t>
  </si>
  <si>
    <t>449
411</t>
  </si>
  <si>
    <t>86,71
7,5875</t>
  </si>
  <si>
    <t>29,59
2,59</t>
  </si>
  <si>
    <t>3792
769</t>
  </si>
  <si>
    <t>119,51
4,16</t>
  </si>
  <si>
    <t>Итоги по разделу 3 Утепление вентканалов :</t>
  </si>
  <si>
    <t>56,01
0,01</t>
  </si>
  <si>
    <t xml:space="preserve">  Отделочные работы</t>
  </si>
  <si>
    <t xml:space="preserve">  Итого по разделу 3 Утепление вентканалов</t>
  </si>
  <si>
    <t xml:space="preserve">                           Раздел 4. Утепление фановых труб</t>
  </si>
  <si>
    <t>ФЕР16-04-001-02
--------------------
Приказ Минстроя РФ от 30.01.14 №31/пр</t>
  </si>
  <si>
    <t xml:space="preserve">Прокладка трубопроводов канализации из полиэтиленовых труб высокой плотности диаметром: 110 мм, 100 м трубопровода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98%=128%*(0.9*0.85) от ФОТ
СП 56%=83%*(0.85*0.8) от ФОТ
 </t>
  </si>
  <si>
    <t>7877,8
702,73</t>
  </si>
  <si>
    <t>8,23
0,85</t>
  </si>
  <si>
    <t xml:space="preserve">16.104 Прокладка трубопроводов канализации из полиэтиленовых труб высокой плотности диаметром: 100 мм: ОЗП=16,9; ЭМ=11,63; ЗПМ=16,9; МАТ=3,14
 </t>
  </si>
  <si>
    <t>8
1</t>
  </si>
  <si>
    <t>70,84
0,0625</t>
  </si>
  <si>
    <t>6,27
0,01</t>
  </si>
  <si>
    <t>ФЕР16-04-001-01
--------------------
Приказ Минстроя РФ от 30.01.14 №31/пр</t>
  </si>
  <si>
    <t xml:space="preserve">Прокладка трубопроводов канализации из полиэтиленовых труб высокой плотности диаметром: 50 мм, 100 м трубопровода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98%=128%*(0.9*0.85) от ФОТ
СП 56%=83%*(0.85*0.8) от ФОТ
 </t>
  </si>
  <si>
    <t>4719,91
732,85</t>
  </si>
  <si>
    <t>3,58
0,34</t>
  </si>
  <si>
    <t xml:space="preserve">16.103 Прокладка трубопроводов канализации из полиэтиленовых труб высокой плотности диаметром: 50 мм: ОЗП=16,9; ЭМ=11,56; ЗПМ=16,9; МАТ=3,13
 </t>
  </si>
  <si>
    <t>73,876
0,025</t>
  </si>
  <si>
    <t>ФССЦ-103-0935
--------------------
Приказ Минстроя России от 12.11.14 №703/пр</t>
  </si>
  <si>
    <t xml:space="preserve">Муфты диаметром: 50 мм, шт.
 </t>
  </si>
  <si>
    <t xml:space="preserve">Муфты диаметром:50 мм; МАТ=4,341
 </t>
  </si>
  <si>
    <t>ФССЦ-103-0936
--------------------
Приказ Минстроя России от 12.11.14 №703/пр</t>
  </si>
  <si>
    <t xml:space="preserve">Муфты диаметром: 100 мм, шт.
 </t>
  </si>
  <si>
    <t xml:space="preserve">Муфты диаметром:100 мм; МАТ=5,23
 </t>
  </si>
  <si>
    <t>0,1163
0,0435+0,0728</t>
  </si>
  <si>
    <t>0,008372
7,28*1,15/1000</t>
  </si>
  <si>
    <t>ФЕР26-01-009-01
--------------------
Приказ Минстроя РФ от 30.01.14 №31/пр</t>
  </si>
  <si>
    <t xml:space="preserve">Изоляция трубопроводов: матами минераловатными марок 75, 100, плитами минераловатными на синтетическом связующем марки 75, 1 м3 изоляции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77%=100%*(0.9*0.85) от ФОТ
СП 48%=70%*(0.85*0.8) от ФОТ
 </t>
  </si>
  <si>
    <t>1603,97
211,58</t>
  </si>
  <si>
    <t xml:space="preserve">26.13. Изоляция трубопроводов: матами минераловатными марок 75, 100, плитами минераловатными на синтетическом связующем марки 75: ОЗП=16,9; ЭМ=11,72; ЗПМ=16,9; МАТ=3,43
 </t>
  </si>
  <si>
    <t>ФССЦ-104-0009
--------------------
Приказ Минстроя России от 12.11.14 №703/пр</t>
  </si>
  <si>
    <t xml:space="preserve">Маты прошивные из минеральной ваты: без обкладок М-100, толщина 60 мм, м3
 </t>
  </si>
  <si>
    <t xml:space="preserve">Маты прошивные из минеральной ваты:без обкладок М-100, толщина 60 мм; МАТ=3,342
 </t>
  </si>
  <si>
    <t>ФССЦ-104-0530
--------------------
Приказ Минстроя России от 12.11.14 №703/пр</t>
  </si>
  <si>
    <t xml:space="preserve">Маты теплоизоляционные из стекловолокна URSA, марки: М-15-9000-1200-100  94,37/0,05/520,94=3,623, м3
 </t>
  </si>
  <si>
    <t xml:space="preserve">ТССЦ-104-9242-90005 94,13/0,05/520,94=3,614; МАТ=3,623
 </t>
  </si>
  <si>
    <t>0,017781
3,84*4,41*1,05/1000</t>
  </si>
  <si>
    <t>1060
1</t>
  </si>
  <si>
    <t>37,33
0,01</t>
  </si>
  <si>
    <t>Итоги по разделу 4 Утепление фановых труб :</t>
  </si>
  <si>
    <t xml:space="preserve">  Сантехнические работы - внутренние (трубопроводы, водопровод, канализация, отопление, газоснабжение, вентиляция и кондиционирование воздуха)</t>
  </si>
  <si>
    <t>7,54
0,01</t>
  </si>
  <si>
    <t xml:space="preserve">  Итого по разделу 4 Утепление фановых труб</t>
  </si>
  <si>
    <t xml:space="preserve">                           Раздел 5. Перевозки</t>
  </si>
  <si>
    <t>ФССЦпг03-02-01-100
--------------------
Приказ Минстроя РФ от 30.01.14 №31/пр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</si>
  <si>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100 км I класс груза, 1 т груза
НР 0%=0%*0.85 от ФОТ
СП 0%=0%*0.8 от ФОТ
 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</si>
  <si>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100 км.: I класс груза; ЭМ=11,82
 </t>
  </si>
  <si>
    <t>ФССЦпг03-01-01-100
--------------------
Приказ Минстроя РФ от 30.01.14 №31/пр</t>
  </si>
  <si>
    <t xml:space="preserve">Перевозка бетонных и ж/б изделий, стеновых и перегородочных материалов (кирпич, блоки, камни, плиты и панели), лесоматериалов круглых и пиломатериалов автомобилями бортовыми грузоподъемностью до 15 т, на расстояние до 100 км I класс груза, 1 т груза
НР 0%=0%*0.85 от ФОТ
СП 0%=0%*0.8 от ФОТ
 </t>
  </si>
  <si>
    <t xml:space="preserve">Перевозка бетонных и ж/б изделий, стеновых и перегородочных материалов (кирпич, блоки, камни, плиты и панели), лесоматериалов круглых и пиломатериалов автомобилями бортовыми грузоподъемностью до 15 т, на расстояние до 100 км.: I класс груза; ЭМ=10,86
 </t>
  </si>
  <si>
    <t>ФССЦпг03-02-02-100
--------------------
Приказ Минстроя РФ от 30.01.14 №31/пр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</si>
  <si>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100 км II класс груза, 1 т груза
НР 0%=0%*0.85 от ФОТ
СП 0%=0%*0.8 от ФОТ
 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</si>
  <si>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100 км.: II класс груза; ЭМ=11,82
 </t>
  </si>
  <si>
    <t>ФССЦпг03-02-04-100
--------------------
Приказ Минстроя РФ от 30.01.14 №31/пр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</si>
  <si>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100 км IV класс груза, 1 т груза
НР 0%=0%*0.85 от ФОТ
СП 0%=0%*0.8 от ФОТ
 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</si>
  <si>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100 км.: IV класс груза; ЭМ=11,82
 </t>
  </si>
  <si>
    <t>Итоги по разделу 5 Перевозки :</t>
  </si>
  <si>
    <t xml:space="preserve">  Итого по разделу 5 Перевозки</t>
  </si>
  <si>
    <t>Итого прямые затраты по смете в текущих ценах</t>
  </si>
  <si>
    <t>64252
4084</t>
  </si>
  <si>
    <t>1559,46
19,08</t>
  </si>
  <si>
    <t>Итоги по смете:</t>
  </si>
  <si>
    <t>236,05
4,52</t>
  </si>
  <si>
    <t>283,57
5,23</t>
  </si>
  <si>
    <t>28,53
1,56</t>
  </si>
  <si>
    <t>557,22
2,07</t>
  </si>
  <si>
    <t>284,54
2,35</t>
  </si>
  <si>
    <t xml:space="preserve">  ВСЕГО по смете</t>
  </si>
  <si>
    <t>на   Капитальный ремонт крыши</t>
  </si>
  <si>
    <t>Составлен(а) в текущих ценах по состоянию на 3 кв. 2015 года</t>
  </si>
  <si>
    <t xml:space="preserve">  Капитальный ремонт многоквартирного дома, расположенного по адресу: Томская область, г.Асино, ул.Липатова, дом №23.  Капитальный ремонт крыши</t>
  </si>
  <si>
    <r>
      <t xml:space="preserve">Стоимость единицы                                        </t>
    </r>
    <r>
      <rPr>
        <i/>
        <sz val="9"/>
        <rFont val="Times New Roman"/>
        <family val="1"/>
      </rPr>
      <t>(в базисном уровне цен с учетом всех коэффициентов к позиции)</t>
    </r>
  </si>
  <si>
    <r>
      <t xml:space="preserve">Общая стоимость                                                                    </t>
    </r>
    <r>
      <rPr>
        <i/>
        <sz val="9"/>
        <rFont val="Times New Roman"/>
        <family val="1"/>
      </rPr>
      <t>(в текущем уровне цен)</t>
    </r>
  </si>
  <si>
    <t xml:space="preserve">Металлочерепица «Монтеррей», м2
 </t>
  </si>
  <si>
    <t xml:space="preserve">Профилированный настил НС44 оцинкованный с полимерным покрытием 465/1,18/5,56, м2
 </t>
  </si>
  <si>
    <t xml:space="preserve">Сталь листовая оцинкованная толщиной листа: 0,7 мм, т
 </t>
  </si>
  <si>
    <t xml:space="preserve">Сталь листовая оцинкованная толщиной листа: 0,5 мм, т
 </t>
  </si>
  <si>
    <t xml:space="preserve">Створки фрамужные площадь: 0,4-0,6 м2, м2
 </t>
  </si>
  <si>
    <t xml:space="preserve">Лента полиэтиленовая с липким слоем: А50, кг
 </t>
  </si>
  <si>
    <t xml:space="preserve">Пленка полиэтиленовая толщиной: 0,2-0,5 мм, изоловая, м2
 </t>
  </si>
  <si>
    <t>Сметная стоимость в базисных ценах</t>
  </si>
  <si>
    <t>Строительные работы в базисных ценах</t>
  </si>
  <si>
    <t>Монтажные работы в базисных ценах</t>
  </si>
  <si>
    <t>Оборудование в базисных ценах</t>
  </si>
  <si>
    <t>Прочие затраты в базисных ценах</t>
  </si>
  <si>
    <t>Проверил</t>
  </si>
  <si>
    <t>Заказчик</t>
  </si>
  <si>
    <t>Инвестор</t>
  </si>
  <si>
    <t>Наименование пускового комплекса</t>
  </si>
  <si>
    <t>Наименование стройки</t>
  </si>
  <si>
    <t>Наименование объекта</t>
  </si>
  <si>
    <t>Наименование очереди</t>
  </si>
  <si>
    <t>Наименование локальной сметы</t>
  </si>
  <si>
    <t>Наименование объектной сметы</t>
  </si>
  <si>
    <t>Наименование сводного сметного расчета</t>
  </si>
  <si>
    <t>Сметная стоимость по ресурсному расчету</t>
  </si>
  <si>
    <t>Итого ЗПМ при расчете по стоимости ч/часа работы механизаторов</t>
  </si>
  <si>
    <t>Нормативная трудоемкость основных рабочих по смете</t>
  </si>
  <si>
    <t>Нормативная трудоемкость механизаторов по смете</t>
  </si>
  <si>
    <t>Итого ФОТ при расчете по доле з/п в стоимости эксплуатации машин</t>
  </si>
  <si>
    <t>Трудоемкость основных рабочих по акту выполненных работ</t>
  </si>
  <si>
    <t>Трудоемкость механизаторов по акту выполненных работ</t>
  </si>
  <si>
    <t xml:space="preserve">Стоимость по акту выполненных работ в базисных ценах </t>
  </si>
  <si>
    <t>Итого ПЗ по акту выполненных работ в базисных ценах</t>
  </si>
  <si>
    <t>Итого ОЗП по акту выполненных работ в базисных ценах</t>
  </si>
  <si>
    <t>Итого ЗПМ по акту выполненных работ в базисных ценах</t>
  </si>
  <si>
    <t>Итого ФОТ по акту выполненных работ в базисных ценах</t>
  </si>
  <si>
    <t>Итого материалы по акту выполненных работ в базисных ценах</t>
  </si>
  <si>
    <t>Итого машины и механизмы по акту выполненных работ в базисных ценах</t>
  </si>
  <si>
    <t>Стоимость по акту выполненных работ при ресурсном расчете</t>
  </si>
  <si>
    <t>Итого ПЗ по акту выполненных работ при ресурсном расчете</t>
  </si>
  <si>
    <t>Итого ОЗП по акту выполненных работ при ресурсном расчете</t>
  </si>
  <si>
    <t>Итого ЗПМ по акту выполненных работ при ресурсном расчете</t>
  </si>
  <si>
    <t>Итого ФОТ по акту выполненных работ при ресурсном расчете</t>
  </si>
  <si>
    <t>Итого материалы по акту выполненных работ при ресурсном расчете</t>
  </si>
  <si>
    <t>Итого машины и механизмы по акту выполненных работ при ресурсном расчете</t>
  </si>
  <si>
    <t>Отчетный период (учет выполненных работ)</t>
  </si>
  <si>
    <t xml:space="preserve">Укрупненный норматив НР для расчета в текущих ценах и ценах 2001г. </t>
  </si>
  <si>
    <t>Укрупненный норматив СП для расчета в текущих ценах и ценах 2001г.</t>
  </si>
  <si>
    <t>Укрупненный норматив СП для расчета в ценах 1984г.</t>
  </si>
  <si>
    <t>Укрупненный норматив НР для расчета в ценах 1984г.</t>
  </si>
  <si>
    <t>Итого ПЗ в базисных ценах</t>
  </si>
  <si>
    <t>Итого ОЗП в базисных ценах</t>
  </si>
  <si>
    <t>Итого ЗПМ в базисных ценах</t>
  </si>
  <si>
    <t>Итого ФОТ в базисных ценах</t>
  </si>
  <si>
    <t>Итого материалы в базисных ценах</t>
  </si>
  <si>
    <t>Итого машины и механизмы в базисных ценах</t>
  </si>
  <si>
    <t xml:space="preserve">Районный к-т к ЗП </t>
  </si>
  <si>
    <t>Наименование группы строек</t>
  </si>
  <si>
    <t>Итого НР в базисных ценах</t>
  </si>
  <si>
    <t>Итого СП в базисных ценах</t>
  </si>
  <si>
    <t>Итого НР по ресурсному расчету</t>
  </si>
  <si>
    <t>Итого СП по ресурсному расчету</t>
  </si>
  <si>
    <t>Итого НР по акту в базисных ценах</t>
  </si>
  <si>
    <t>Итого СП по акту в базисных ценах</t>
  </si>
  <si>
    <t>Итого НР по акту при ресурсном расчете</t>
  </si>
  <si>
    <t>Итого СП по акту при ресурсном расчете</t>
  </si>
  <si>
    <t>Норм_трудоемкость осн_рабочих по смете с учетом к-тов</t>
  </si>
  <si>
    <t>Норм_трудоемкость механизаторов по смете с учетом к-тов</t>
  </si>
  <si>
    <t>Итого ЭММ в базисных ценах с учетом к-тов</t>
  </si>
  <si>
    <t xml:space="preserve">Итого материалы в базисных ценах с учетом к-тов </t>
  </si>
  <si>
    <t>Итого ЗПМ в базисных ценах с учетом к-тов</t>
  </si>
  <si>
    <t xml:space="preserve">Итого ОЗП в базисных ценах с учетом к-тов </t>
  </si>
  <si>
    <t>Итого ПЗ в базисных ценах с учетом к-тов</t>
  </si>
  <si>
    <t>Итого ПЗ по рес_расчету с учетом к-тов</t>
  </si>
  <si>
    <t>Итого ОЗП по рес_расчету с учетом к-тов</t>
  </si>
  <si>
    <t>Итого ЗПМ  по рес_расчету с учетом к-тов</t>
  </si>
  <si>
    <t>Итого материалы  по рес_расчету с учетом к-тов</t>
  </si>
  <si>
    <t>Итого ЭММ  по рес_расчету с учетом к-тов</t>
  </si>
  <si>
    <t>Труд_основн_рабочих по акту вып_работ с учетом к-тов</t>
  </si>
  <si>
    <t>Труд_механизаторов по акту вып_работ с учетом к-тов</t>
  </si>
  <si>
    <t>Итого ПЗ по акту вып_работ в базисных ценах с учетом к-тов</t>
  </si>
  <si>
    <t>Итого ОЗП по акту вып_работ в базисных ценах с учетом к-тов</t>
  </si>
  <si>
    <t>Итого ЗПМ по акту вып_работ в базисных ценах с учетом к-тов</t>
  </si>
  <si>
    <t>Итого МАТ по акту вып_работ в базисных ценах с учетом к-тов</t>
  </si>
  <si>
    <t>Итого ЭММ по акту вып_работ в базисных ценах с учетом к-тов</t>
  </si>
  <si>
    <t>Итого ПЗ по акту вып_работ при ресурсном расчете с учетом к-тов</t>
  </si>
  <si>
    <t>Итого ОЗП по акту вып_работ при ресурсном расчете с учетом к-тов</t>
  </si>
  <si>
    <t>Итого ЗПМ по акту вып_работ при ресурсном расчете с учетом к-тов</t>
  </si>
  <si>
    <t>Итого МАТ по акту вып_работ при ресурсном расчете с учетом к-тов</t>
  </si>
  <si>
    <t>Итого ЭММ по акту вып_работ при ресурсном расчете с учетом к-тов</t>
  </si>
  <si>
    <t>(наименование стройки)</t>
  </si>
  <si>
    <t>(локальная смета)</t>
  </si>
  <si>
    <t>№ пп</t>
  </si>
  <si>
    <t>Номер позиции по смете</t>
  </si>
  <si>
    <t>Номер позиции по порядку (в актах выполненных работ)</t>
  </si>
  <si>
    <t>Обоснование (код) позиции</t>
  </si>
  <si>
    <t>К-ты к позиции (результат)</t>
  </si>
  <si>
    <t>Обоснование коэффициентов</t>
  </si>
  <si>
    <t>Наименование (текстовая часть) расценки</t>
  </si>
  <si>
    <t>Ед. измерения по расценке</t>
  </si>
  <si>
    <t>Количество всего (физ. объем) по позиции</t>
  </si>
  <si>
    <t xml:space="preserve">ПЗ по позиции на единицу в базисных ценах </t>
  </si>
  <si>
    <t>ОЗП по позиции на единицу в базисных ценах</t>
  </si>
  <si>
    <t xml:space="preserve">ЭММ по позиции на единицу в базисных ценах </t>
  </si>
  <si>
    <t xml:space="preserve">ЗПМ по позиции на единицу в базисных ценах </t>
  </si>
  <si>
    <t xml:space="preserve">МАТ по позиции на единицу в базисных ценах </t>
  </si>
  <si>
    <t xml:space="preserve">Оборудование по позиции на единицу в базисных ценах </t>
  </si>
  <si>
    <t>ПЗ по позиции на единицу в базисных ценах с учетом к-тов к позиции</t>
  </si>
  <si>
    <t>ОЗП по позиции на единицу в базисных ценах с учетом к-тов к позиции</t>
  </si>
  <si>
    <t>ЭММ по позиции на единицу в базисных ценах с учетом к-тов к позиции</t>
  </si>
  <si>
    <t>ЗПМ по позиции на единицу в базисных ценах с учетом к-тов к позиции</t>
  </si>
  <si>
    <t>МАТ по позиции на единицу в базисных ценах с учетом к-тов к позиции</t>
  </si>
  <si>
    <t>Оборудование на единицу в базисных ценах с учетом к-тов к позиции</t>
  </si>
  <si>
    <t xml:space="preserve">ПЗ по позиции на единицу после применения индекса </t>
  </si>
  <si>
    <t xml:space="preserve">ЭММ по позиции на единицу после применения индекса </t>
  </si>
  <si>
    <t xml:space="preserve">ЗПМ по позиции на единицу после применения индекса </t>
  </si>
  <si>
    <t xml:space="preserve">МАТ по позиции на единицу после применения индекса </t>
  </si>
  <si>
    <t xml:space="preserve">Оборудование по позиции на единицу после применения индекса </t>
  </si>
  <si>
    <t>Общая стоимость ПЗ по позиции в базисных ценах</t>
  </si>
  <si>
    <t>Общая стоимость ОЗП по позиции в базисных ценах</t>
  </si>
  <si>
    <t>Общая стоимость ЭММ по позиции в базисных ценах</t>
  </si>
  <si>
    <t>Общая стоимость ЗПМ по позиции в базисных ценах</t>
  </si>
  <si>
    <t>Общая стоимость МАТ по позиции в базисных ценах</t>
  </si>
  <si>
    <t>Общая стоимость оборудования по позиции в базисных ценах</t>
  </si>
  <si>
    <t>ТЗ по позиции на единицу</t>
  </si>
  <si>
    <t>ТЗ по позиции всего</t>
  </si>
  <si>
    <t>ТЗМ по позиции на единицу</t>
  </si>
  <si>
    <t>ТЗМ по позиции всего</t>
  </si>
  <si>
    <t xml:space="preserve">ПЗ по позиции на единицу в текущих ценах </t>
  </si>
  <si>
    <t>ОЗП по позиции на единицу в текущих ценах</t>
  </si>
  <si>
    <t xml:space="preserve">ЭММ по позиции на единицу в текущих ценах </t>
  </si>
  <si>
    <t xml:space="preserve">ЗПМ по позиции на единицу в текущих ценах </t>
  </si>
  <si>
    <t xml:space="preserve">МАТ по позиции на единицу в текущих ценах </t>
  </si>
  <si>
    <t xml:space="preserve">Оборудование по позиции на единицу в текущих ценах </t>
  </si>
  <si>
    <t>ПЗ по позиции на единицу в текущих ценах с учетом к-тов к позиции</t>
  </si>
  <si>
    <t>ОЗП по позиции на единицу в текущих ценах с учетом к-тов к позиции</t>
  </si>
  <si>
    <t>ЭММ по позиции на единицу в текущих ценах с учетом к-тов к позиции</t>
  </si>
  <si>
    <t>ЗПМ по позиции на единицу в текущих ценах с учетом к-тов к позиции</t>
  </si>
  <si>
    <t>МАТ по позиции на единицу в текущих ценах с учетом к-тов к позиции</t>
  </si>
  <si>
    <t>Оборудование на единицу в текущих ценах с учетом к-тов к позиции</t>
  </si>
  <si>
    <t>Общая стоимость ПЗ по позиции в текущих ценах</t>
  </si>
  <si>
    <t>Общая стоимость ОЗП по позиции в текущих ценах</t>
  </si>
  <si>
    <t>Общая стоимость ЭММ по позиции в текущих ценах</t>
  </si>
  <si>
    <t>Общая стоимость ЗПМ по позиции в текущих ценах</t>
  </si>
  <si>
    <t>Общая стоимость МАТ по позиции в текущих ценах</t>
  </si>
  <si>
    <t>Общая стоимость оборудования по позиции в текущих ценах</t>
  </si>
  <si>
    <t>Индекс пересчета МАТ по позиции из базисных цен 1984г. в текущие</t>
  </si>
  <si>
    <t>Обоснование индекса пересчета по позиции из базисных цен 1984г. в текущие</t>
  </si>
  <si>
    <t>Индекс пересчета ПЗ по позиции из базисных цен 2001г. в текущие</t>
  </si>
  <si>
    <t>Индекс пересчета ОЗП по позиции из базисных цен 2001г. в текущие</t>
  </si>
  <si>
    <t>Индекс пересчета ЭМ по позиции из базисных цен 2001г. в текущие</t>
  </si>
  <si>
    <t>Индекс пересчета ЗПМ по позиции из базисных цен 2001г. в текущие</t>
  </si>
  <si>
    <t>Индекс пересчета МАТ по позиции из базисных цен 2001г. в текущие</t>
  </si>
  <si>
    <t>Обоснование индекса пересчета по позиции из базисных цен 2001г. в текущие</t>
  </si>
  <si>
    <t>Индекс пересчета ПЗ по позиции из цен 1984г. в цены 2001г.</t>
  </si>
  <si>
    <t>Индекс пересчета ОЗП по позиции из цен 1984г. в цены 2001г.</t>
  </si>
  <si>
    <t>Индекс пересчета ЭМ по позиции из цен 1984г. в цены 2001г.</t>
  </si>
  <si>
    <t>Индекс пересчета ЗПМ по позиции из цен 1984г. в цены 2001г.</t>
  </si>
  <si>
    <t>Индекс пересчета МАТ по позиции из цен 1984г. в цены 2001г.</t>
  </si>
  <si>
    <t>Обоснование индекса пересчета по позиции из цен 1984г. в цены 2001г.</t>
  </si>
  <si>
    <t>Обоснование территориальной поправки к расценкам 2001г.</t>
  </si>
  <si>
    <t>Территориальная поправка к ПЗ к расценкам 2001г.</t>
  </si>
  <si>
    <t>Территориальная поправка к ОЗП к расценкам 2001г.</t>
  </si>
  <si>
    <t>Территориальная поправка к ЭМ к расценкам 2001г.</t>
  </si>
  <si>
    <t>Территориальная поправка к ЗПМ к расценкам 2001г.</t>
  </si>
  <si>
    <t>Территориальная поправка к МАТ к расценкам 2001г.</t>
  </si>
  <si>
    <t>Код ресурса</t>
  </si>
  <si>
    <t xml:space="preserve">Наименование ресурса </t>
  </si>
  <si>
    <t>Единица измерения ресурса</t>
  </si>
  <si>
    <t>Количество ресурса на единицу измерения</t>
  </si>
  <si>
    <t>Общее количество ресурса (на физ. объем)</t>
  </si>
  <si>
    <t>Сметная базисная цена ресурса (на ед. измерения)</t>
  </si>
  <si>
    <t>Сметная базисная цена ресурса (на физ. объем)</t>
  </si>
  <si>
    <t>Обоснование базисной цены ресурса</t>
  </si>
  <si>
    <t>Сметная текущая цена ресурса (на ед. измерения)</t>
  </si>
  <si>
    <t>Сметная текущая цена ресурса (на физ. объем)</t>
  </si>
  <si>
    <t>Обоснование текущей цены ресурса</t>
  </si>
  <si>
    <t>Базисная ЗП по ресурсу (для машин и механизмов)</t>
  </si>
  <si>
    <t>Текущая ЗП по ресурсу (для машин и механизмов)</t>
  </si>
  <si>
    <t>№</t>
  </si>
  <si>
    <t>Индекс/ЛН группы строек</t>
  </si>
  <si>
    <t>Дата изменения группы строек</t>
  </si>
  <si>
    <t>Дата создания группы строек</t>
  </si>
  <si>
    <t>Регистрационный номер группы строек</t>
  </si>
  <si>
    <t>Описание группы строек</t>
  </si>
  <si>
    <t>Индекс/ЛН очереди</t>
  </si>
  <si>
    <t>Дата изменения очереди</t>
  </si>
  <si>
    <t>Дата создания очереди</t>
  </si>
  <si>
    <t>Регистрационный номер очереди</t>
  </si>
  <si>
    <t>Описание очереди</t>
  </si>
  <si>
    <t>Индекс/ЛН пускового комплекса</t>
  </si>
  <si>
    <t>Дата изменения пускового комплекса</t>
  </si>
  <si>
    <t>Дата создания пускового комплекса</t>
  </si>
  <si>
    <t>Регистрационный номер пускового комплекса</t>
  </si>
  <si>
    <t>Описание пускового комплекса</t>
  </si>
  <si>
    <t>Индекс/ЛН стройки</t>
  </si>
  <si>
    <t>Дата изменения стройки</t>
  </si>
  <si>
    <t>Дата создания стройки</t>
  </si>
  <si>
    <t>Регистрационный номер стройки</t>
  </si>
  <si>
    <t>Описание стройки</t>
  </si>
  <si>
    <t>Индекс/ЛН объекта</t>
  </si>
  <si>
    <t>Дата изменения объекта</t>
  </si>
  <si>
    <t>Дата создания объекта</t>
  </si>
  <si>
    <t>Регистрационный номер объекта</t>
  </si>
  <si>
    <t>Описание объекта</t>
  </si>
  <si>
    <t>Индекс/ЛН сводного сметного расчета</t>
  </si>
  <si>
    <t>Дата изменения сводного сметного расчета</t>
  </si>
  <si>
    <t>Дата создания сводного сметного расчета</t>
  </si>
  <si>
    <t>Регистрационный номер сводного сметного расчета</t>
  </si>
  <si>
    <t>Описание сводного сметного расчета</t>
  </si>
  <si>
    <t>Индекс/ЛН объектной сметы</t>
  </si>
  <si>
    <t>Дата изменения объектной сметы</t>
  </si>
  <si>
    <t>Дата создания объектной сметы</t>
  </si>
  <si>
    <t>Регистрационный номер объектной сметы</t>
  </si>
  <si>
    <t>Описание объектной сметы</t>
  </si>
  <si>
    <t>Индекс/ЛН локальной сметы</t>
  </si>
  <si>
    <t>Дата изменения локальной сметы</t>
  </si>
  <si>
    <t>Дата создания локальной сметы</t>
  </si>
  <si>
    <t>Регистрационный номер локальной сметы</t>
  </si>
  <si>
    <t>Описание локальной сметы</t>
  </si>
  <si>
    <t>Основание</t>
  </si>
  <si>
    <t>Составил</t>
  </si>
  <si>
    <t>Сметная стоимость в текущих ценах после применения индексов</t>
  </si>
  <si>
    <t>Строительные работы в текущих ценах после применения индексов</t>
  </si>
  <si>
    <t>Монтажные работы в текущих ценах после применения индексов</t>
  </si>
  <si>
    <t>Оборудование в текущих ценах после применения индексов</t>
  </si>
  <si>
    <t>Прочие затраты в текущих ценах после применения индексов</t>
  </si>
  <si>
    <t>Строительные работы в текущих ценах по ресурсному расчету</t>
  </si>
  <si>
    <t>Монтажные работы в текущих ценах по ресурсному расчету</t>
  </si>
  <si>
    <t>Оборудование в текущих ценах по ресурсному расчету</t>
  </si>
  <si>
    <t>Прочие затраты в текущих ценах по ресурсному расчету</t>
  </si>
  <si>
    <t>Итого ПЗ по ресурсному расчету</t>
  </si>
  <si>
    <t>Итого ОЗП по ресурсному расчету</t>
  </si>
  <si>
    <t>Итого материалы по ресурсному расчету</t>
  </si>
  <si>
    <t>Итого машины и механизмы по ресурсному расчету</t>
  </si>
  <si>
    <t>Территориальная поправка к ТЕР на ПЗ</t>
  </si>
  <si>
    <t>Территориальная поправка к ТЕР на ОЗП</t>
  </si>
  <si>
    <t>Территориальная поправка к ТЕР на ЭМ</t>
  </si>
  <si>
    <t>Территориальная поправка к ТЕР на ЗПМ</t>
  </si>
  <si>
    <t>Территориальная поправка к ТЕР на МАТ</t>
  </si>
  <si>
    <t>Обоснование поправки к ТЕР</t>
  </si>
  <si>
    <t>Спецификация переменных и констант из программы ГРАНД-СМЕТА</t>
  </si>
  <si>
    <t>Наименование переменной из позиции сметы или акта выполнения</t>
  </si>
  <si>
    <t>Наименование константы по смете или акту выполнения</t>
  </si>
  <si>
    <t xml:space="preserve">ОЗП по позиции на единицу после применения индекса </t>
  </si>
  <si>
    <t>ПЗ по позиции в базисных ценах по выполнению</t>
  </si>
  <si>
    <t>ОЗП по позиции в базисных ценах по выполнению</t>
  </si>
  <si>
    <t>ЭММ по позиции в базисных ценах по выполнению</t>
  </si>
  <si>
    <t>ЗПМ по позиции в базисных ценах по выполнению</t>
  </si>
  <si>
    <t>МАТ по позиции в базисных ценах по выполнению</t>
  </si>
  <si>
    <t>Стоимость оборудования по позиции в базисных ценах по выполнению</t>
  </si>
  <si>
    <t>ТЗ по позиции по выполнению</t>
  </si>
  <si>
    <t>ТЗМ по позиции по выполнению</t>
  </si>
  <si>
    <t>ПЗ по позиции в текущих ценах по выполнению</t>
  </si>
  <si>
    <t>ОЗП по позиции в текущих ценах по выполнению</t>
  </si>
  <si>
    <t>ЭММ по позиции в текущих ценах по выполнению</t>
  </si>
  <si>
    <t>ЗПМ по позиции в текущих ценах по выполнению</t>
  </si>
  <si>
    <t>МАТ по позиции в текущих ценах по выполнению</t>
  </si>
  <si>
    <t>Стоимость оборудования по позиции в текущих ценах по выполнению</t>
  </si>
  <si>
    <t>Наименование столбца структуры итогов</t>
  </si>
  <si>
    <t>Локальный сметный расчет</t>
  </si>
  <si>
    <t>Текстовая часть (итоги)</t>
  </si>
  <si>
    <t>Прямые затраты (итоги)</t>
  </si>
  <si>
    <t>З/п основных рабочих (итоги)</t>
  </si>
  <si>
    <t>Эксплуатация машин (итоги)</t>
  </si>
  <si>
    <t>З/п машинистов (итоги)</t>
  </si>
  <si>
    <t>Материалы (итоги)</t>
  </si>
  <si>
    <t>Трудозатраты основных рабочих (итоги)</t>
  </si>
  <si>
    <t>Трудозатраты машинистов (итоги)</t>
  </si>
  <si>
    <t>Формула расчета физ. объема</t>
  </si>
  <si>
    <t>Норма расхода на единицу</t>
  </si>
  <si>
    <t>Формула расчета стоимости единицы</t>
  </si>
  <si>
    <t>Ресурсный расчет</t>
  </si>
  <si>
    <t>Индексы пересчета и территориальные поправки</t>
  </si>
  <si>
    <t>Акт о приемке выполненных работ</t>
  </si>
  <si>
    <t>Ведомость ресурсов и список потребных ресурсов</t>
  </si>
  <si>
    <t>Номер ресурса п.п.</t>
  </si>
  <si>
    <t>К-т к позиции на прямые затраты</t>
  </si>
  <si>
    <t>К-т к позиции на основную з/п</t>
  </si>
  <si>
    <t>К-т к позиции на эксплуатацию машин</t>
  </si>
  <si>
    <t>К-т к позиции на з/п машинистов</t>
  </si>
  <si>
    <t>К-т к позиции на материалы</t>
  </si>
  <si>
    <t>К-т к позиции на трудозатраты рабочих</t>
  </si>
  <si>
    <t>К-т к позиции на трудозатраты механизаторов</t>
  </si>
  <si>
    <t>Вид работ 2001г. по позиции</t>
  </si>
  <si>
    <t>Нормы НР 2001г. по позиции</t>
  </si>
  <si>
    <t>Нормы СП 2001г. по позиции</t>
  </si>
  <si>
    <t>Вид работ 1984г. по позиции</t>
  </si>
  <si>
    <t>Нормы НР 1984г. по позиции</t>
  </si>
  <si>
    <t>Нормы СП 1984г. по позиции</t>
  </si>
  <si>
    <t>К-ты к НР по позиции при расчете в текущих ценах</t>
  </si>
  <si>
    <t>К-ты к НР по позиции при расчете в базисных ценах</t>
  </si>
  <si>
    <t>Сумма НР по позиции при расчете в текущих ценах (ресурсный расчет)</t>
  </si>
  <si>
    <t>Сумма НР по позиции при расчете в базисных ценах</t>
  </si>
  <si>
    <t>Сумма СП по позиции при расчете в текущих ценах (ресурсный расчет)</t>
  </si>
  <si>
    <t>Сумма СП по позиции при расчете в базисных ценах</t>
  </si>
  <si>
    <t>К-т удорожания по позиции (ресурсный расчет)</t>
  </si>
  <si>
    <t>Индекс пересчета ПЗ по позиции из базисных цен 1984г. в текущие</t>
  </si>
  <si>
    <t>Индекс пересчета ОЗП по позиции из базисных цен 1984г. в текущие</t>
  </si>
  <si>
    <t>Индекс пересчета ЭМ по позиции из базисных цен 1984г. в текущие</t>
  </si>
  <si>
    <t>Индекс пересчета ЗПМ по позиции из базисных цен 1984г. в текущие</t>
  </si>
  <si>
    <t>Индекс по конструктивам (часть 1)</t>
  </si>
  <si>
    <t>Индекс по конструктивам (часть 2)</t>
  </si>
  <si>
    <t>Обоснование индекса по конструктивам</t>
  </si>
  <si>
    <t>Индекс</t>
  </si>
  <si>
    <t>СОГЛАСОВАНО:</t>
  </si>
  <si>
    <t>УТВЕРЖДАЮ:</t>
  </si>
  <si>
    <t>Подрядчик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</si>
  <si>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</si>
  <si>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</si>
  <si>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</si>
  <si>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</si>
  <si>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</si>
  <si>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</si>
  <si>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</si>
  <si>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</si>
  <si>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</si>
  <si>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</si>
  <si>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</si>
  <si>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</si>
  <si>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</si>
  <si>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       (наименование работ и затрат, наименование объекта)</t>
  </si>
  <si>
    <t>Наименование работ и затрат,                      единица измерения</t>
  </si>
  <si>
    <t>ЛОКАЛЬНЫЙ СМЕТНЫЙ РАСЧЕТ №  02-01-01</t>
  </si>
  <si>
    <t>Основание:  АС 1</t>
  </si>
  <si>
    <t>Проверил:____________________________</t>
  </si>
  <si>
    <t xml:space="preserve">                           Раздел 1. Демонтажные работы</t>
  </si>
  <si>
    <t>ФЕР46-04-008-04
--------------------
Приказ Минстроя РФ от 30.01.14 №31/пр</t>
  </si>
  <si>
    <t xml:space="preserve">Разборка покрытий кровель: из волнистых и полуволнистых асбестоцементных листов, 100 м2 покрытия
НР 84%=110%*(0.9*0.85) от ФОТ
СП 48%=70%*(0.85*0.8) от ФОТ
 </t>
  </si>
  <si>
    <t>154,66
124,02</t>
  </si>
  <si>
    <t xml:space="preserve">46.70 Разборка покрытий кровель: ОЗП=16,9; ЭМ=2,99; ЗПМ=16,9
 </t>
  </si>
  <si>
    <t>ФЕР12-01-015-03
--------------------
Приказ Минстроя РФ от 30.01.14 №31/пр</t>
  </si>
  <si>
    <t xml:space="preserve">Разборка пароизоляции: прокладочной в один слой, 100 м2 изолируемой поверхности
(Демонтаж ПЗ=0,5 (ОЗП=0,5; ЭМ=0,5 к расх.; ЗПМ=0,5; МАТ=0 к расх.; ТЗ=0,5; ТЗМ=0,5))
НР 92%=120%*(0.9*0.85) от ФОТ
СП 44%=65%*(0.85*0.8) от ФОТ
 </t>
  </si>
  <si>
    <t>50,16
34,26</t>
  </si>
  <si>
    <t>15,9
0,88</t>
  </si>
  <si>
    <t xml:space="preserve">12.39. Устройство пароизоляции: прокладочной: ОЗП=16,9; ЭМ=9,26; ЗПМ=16,9; МАТ=5,52
 </t>
  </si>
  <si>
    <t>495
50</t>
  </si>
  <si>
    <t>3,92
0,065</t>
  </si>
  <si>
    <t>13,17
0,22</t>
  </si>
  <si>
    <t>ФЕРр58-1-3
--------------------
Приказ Минстроя РФ от 30.01.14 №31/пр</t>
  </si>
  <si>
    <t xml:space="preserve">Разборка деревянных элементов конструкций крыш: стропил со стойками и подкосами из брусьев и бревен, 100 м2 кровли
НР 71%=83%*0.85 от ФОТ
СП 52%=65%*0.8 от ФОТ
 </t>
  </si>
  <si>
    <t>255,37
219,08</t>
  </si>
  <si>
    <t>36,29
5,67</t>
  </si>
  <si>
    <t xml:space="preserve">84.1 Разборка деревянных элементов конструкций крыш: ОЗП=16,9; ЭМ=12,12; ЗПМ=16,9
 </t>
  </si>
  <si>
    <t>1478
322</t>
  </si>
  <si>
    <t>27,08
0,42</t>
  </si>
  <si>
    <t>90,99
1,41</t>
  </si>
  <si>
    <t>ФЕРр58-1-4
--------------------
Приказ Минстроя РФ от 30.01.14 №31/пр</t>
  </si>
  <si>
    <t xml:space="preserve">Разборка деревянных элементов конструкций крыш: мауэрлатов, 100 м2 кровли
НР 71%=83%*0.85 от ФОТ
СП 52%=65%*0.8 от ФОТ
 </t>
  </si>
  <si>
    <t>76,77
53,44</t>
  </si>
  <si>
    <t>23,33
3,65</t>
  </si>
  <si>
    <t>950
207</t>
  </si>
  <si>
    <t>6,73
0,27</t>
  </si>
  <si>
    <t>22,61
0,91</t>
  </si>
  <si>
    <t>ФЕРр58-1-1
--------------------
Приказ Минстроя РФ от 30.01.14 №31/пр</t>
  </si>
  <si>
    <t xml:space="preserve">Разборка деревянных элементов конструкций крыш: обрешетки из брусков с прозорами, 100 м2 кровли
НР 71%=83%*0.85 от ФОТ
СП 52%=65%*0.8 от ФОТ
 </t>
  </si>
  <si>
    <t>160,11
120,37</t>
  </si>
  <si>
    <t>39,74
6,21</t>
  </si>
  <si>
    <t>1618
353</t>
  </si>
  <si>
    <t>15,16
0,46</t>
  </si>
  <si>
    <t>50,94
1,55</t>
  </si>
  <si>
    <t>ФЕРр58-2-1
--------------------
Приказ Минстроя РФ от 30.01.14 №31/пр</t>
  </si>
  <si>
    <t xml:space="preserve">Разборка слуховых окон: прямоугольных двускатных, 100 окон
НР 71%=83%*0.85 от ФОТ
СП 52%=65%*0.8 от ФОТ
 </t>
  </si>
  <si>
    <t>2720,29
2709,92</t>
  </si>
  <si>
    <t xml:space="preserve">84.2 Разборка слуховых окон: ОЗП=16,9; ЭМ=4,65; ЗПМ=16,9
 </t>
  </si>
  <si>
    <t>ФЕРр60-2-1
--------------------
Приказ Минстроя РФ от 30.01.14 №31/пр</t>
  </si>
  <si>
    <t xml:space="preserve">Разборка дымовых кирпичных труб и боровов в один канал, 100 м
НР 66%=78%*0.85 от ФОТ
СП 50%=63%*0.8 от ФОТ
 </t>
  </si>
  <si>
    <t>1468,13
1343,72</t>
  </si>
  <si>
    <t>124,41
53,73</t>
  </si>
  <si>
    <t xml:space="preserve">86.2 Разборка дымовых кирпичных труб и боровов: ОЗП=16,9; ЭМ=7,38; ЗПМ=16,9
 </t>
  </si>
  <si>
    <t>102
101</t>
  </si>
  <si>
    <t>164,47
3,98</t>
  </si>
  <si>
    <t>18,22
0,44</t>
  </si>
  <si>
    <t>ФЕРр65-2-2
--------------------
Приказ Минстроя РФ от 30.01.14 №31/пр</t>
  </si>
  <si>
    <t xml:space="preserve">Разборка трубопроводов из чугунных канализационных труб диаметром: 100 мм, 100 м трубопровода с фасонными частями
НР 63%=74%*0.85 от ФОТ
СП 40%=50%*0.8 от ФОТ
 </t>
  </si>
  <si>
    <t>731,64
721,64</t>
  </si>
  <si>
    <t>10
4,32</t>
  </si>
  <si>
    <t xml:space="preserve">90.2 Разборка трубопроводов из чугунных канализационных труб: ОЗП=16,9; ЭМ=7,38; ЗПМ=16,9
 </t>
  </si>
  <si>
    <t>1
1</t>
  </si>
  <si>
    <t>85,3
0,32</t>
  </si>
  <si>
    <t>1,96
0,01</t>
  </si>
  <si>
    <t>ФССЦпг01-01-01-045
--------------------
Приказ Минстроя России от 12.11.14 №703/пр</t>
  </si>
  <si>
    <t xml:space="preserve">Погрузочные работы при автомобильных перевозках: прочих материалов, деталей (с использованием погрузчика), 1 т груза
НР 0%=0%*0.85 от ФОТ
СП 0%=0%*0.8 от ФОТ
 </t>
  </si>
  <si>
    <t xml:space="preserve">Прочие материалы, конструкции и детали (с использованием погрузчика): погрузка; ЭМ=11,29
 </t>
  </si>
  <si>
    <t>ФССЦпг03-21-01-003
--------------------
Приказ Минстроя РФ от 30.01.14 №31/пр</t>
  </si>
  <si>
    <t xml:space="preserve">Перевозка грузов автомобилями-самосвалами грузоподъемностью 10 т, работающих вне карьера, на расстояние: до 3 км I класс груза, 1 т груза
НР 0%=0%*0.85 от ФОТ
СП 0%=0%*0.8 от ФОТ
 </t>
  </si>
  <si>
    <t xml:space="preserve">Перевозка грузов автомобилями-самосвалами грузоподъемностью 10 т, работающих вне карьера, на расстояние: до 3 км.: I класс груза; ЭМ=9,84
 </t>
  </si>
  <si>
    <t>Итого прямые затраты по разделу в текущих ценах</t>
  </si>
  <si>
    <t>10930
1034</t>
  </si>
  <si>
    <t>259,37
4,54</t>
  </si>
  <si>
    <t>Накладные расходы</t>
  </si>
  <si>
    <t>Сметная прибыль</t>
  </si>
  <si>
    <t>Итоги по разделу 1 Демонтажные работы :</t>
  </si>
  <si>
    <t xml:space="preserve">  Работы по реконструкции зданий и сооружений (усиление и замена существующих конструкций, разборка и возведение отдельных конструктивных элементов)</t>
  </si>
  <si>
    <t xml:space="preserve">  Кровли</t>
  </si>
  <si>
    <t xml:space="preserve">  Крыши, кровли (ремонтно-строительные)</t>
  </si>
  <si>
    <t>171,37
3,87</t>
  </si>
  <si>
    <t xml:space="preserve">  Печные работы (ремонтно-строительные)</t>
  </si>
  <si>
    <t xml:space="preserve">  Внутренние санитарно-технические работы: демонтаж и разборка (ремонтно-строительные)</t>
  </si>
  <si>
    <t xml:space="preserve">  Погрузо-разгрузочные работы</t>
  </si>
  <si>
    <t xml:space="preserve">  Перевозка грузов автотранспортом</t>
  </si>
  <si>
    <t xml:space="preserve">  Итого</t>
  </si>
  <si>
    <t xml:space="preserve">    В том числе: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</si>
  <si>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</si>
  <si>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</si>
  <si>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</si>
  <si>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</si>
  <si>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Итого по разделу 1 Демонтажные работы</t>
  </si>
  <si>
    <t xml:space="preserve">                           Раздел 2. Устройство крыши</t>
  </si>
  <si>
    <t>ФЕРр53-20-1
--------------------
Приказ Минстроя РФ от 30.01.14 №31/пр</t>
  </si>
  <si>
    <t xml:space="preserve">Кладка отдельных участков из кирпича: наружных простых стен, 100 м3 кладки
НР 73%=86%*0.85 от ФОТ
СП 56%=70%*0.8 от ФОТ
 </t>
  </si>
  <si>
    <t>89275,4
4717,94</t>
  </si>
  <si>
    <t>3369,6
526,5</t>
  </si>
  <si>
    <t xml:space="preserve">79.38 Кладка отдельных участков стен из кирпича и заделка проемов кирпичом: ОЗП=16,9; ЭМ=12,12; ЗПМ=16,9; МАТ=4,69
 </t>
  </si>
  <si>
    <t>163
36</t>
  </si>
  <si>
    <t>563
39</t>
  </si>
  <si>
    <t>2,25
0,16</t>
  </si>
  <si>
    <t>ФЕР08-02-007-01
--------------------
Приказ Минстроя РФ от 30.01.14 №31/пр</t>
  </si>
  <si>
    <t xml:space="preserve">Армирование кладки стен и других конструкций, 1 т металлических изделий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93%=122%*(0.9*0.85) от ФОТ
СП 54%=80%*(0.85*0.8) от ФОТ
 </t>
  </si>
  <si>
    <t>7840,54
581,92</t>
  </si>
  <si>
    <t>58,61
3,89</t>
  </si>
  <si>
    <t xml:space="preserve">8.21. Армирование кладки стен и других конструкций: ОЗП=16,9; ЭМ=11,95; ЗПМ=16,9; МАТ=3,87
 </t>
  </si>
  <si>
    <t>73,2895
0,2875</t>
  </si>
  <si>
    <t>ФЕР10-01-010-01
--------------------
Приказ Минстроя РФ от 30.01.14 №31/пр</t>
  </si>
  <si>
    <t xml:space="preserve">Устройство подстропильной системы, 1 м3 древесины в конструкции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90%=118%*(0.9*0.85) от ФОТ
СП 43%=63%*(0.85*0.8) от ФОТ
 </t>
  </si>
  <si>
    <t>2447,72
216,83</t>
  </si>
  <si>
    <t xml:space="preserve">10.18. Установка деревянных элементов каркаса: ОЗП=16,9; ЭМ=11,46; ЗПМ=16,9; МАТ=3,37
 </t>
  </si>
  <si>
    <t>ФЕР10-01-002-01
--------------------
Приказ Минстроя РФ от 30.01.14 №31/пр</t>
  </si>
  <si>
    <t xml:space="preserve">Установка стропил, 1 м3 древесины в конструкции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90%=118%*(0.9*0.85) от ФОТ
СП 43%=63%*(0.85*0.8) от ФОТ
 </t>
  </si>
  <si>
    <t>2340,25
230,22</t>
  </si>
  <si>
    <t>47,78
2,54</t>
  </si>
  <si>
    <t xml:space="preserve">10.4. Установка стропил: ОЗП=16,9; ЭМ=11,09; ЗПМ=16,9; МАТ=3,71
 </t>
  </si>
  <si>
    <t>5139
416</t>
  </si>
  <si>
    <t>27,7035
0,1875</t>
  </si>
  <si>
    <t>268,72
1,82</t>
  </si>
  <si>
    <t>ФЕРр58-12-1
--------------------
Приказ Минстроя РФ от 30.01.14 №31/пр</t>
  </si>
  <si>
    <t xml:space="preserve">Устройство обрешетки сплошной из досок, 100 м2
НР 71%=83%*0.85 от ФОТ
СП 52%=65%*0.8 от ФОТ
 </t>
  </si>
  <si>
    <t>2492,19
252,73</t>
  </si>
  <si>
    <t>40,78
5,94</t>
  </si>
  <si>
    <t xml:space="preserve">84.30 Устройство обрешетки сплошной из досок: ОЗП=16,9; ЭМ=10,32; ЗПМ=16,9; МАТ=5,51
 </t>
  </si>
  <si>
    <t>710
169</t>
  </si>
  <si>
    <t>31,83
0,44</t>
  </si>
  <si>
    <t>53,72
0,74</t>
  </si>
  <si>
    <t>ФЕРр58-12-2
--------------------
Приказ Минстроя РФ от 30.01.14 №31/пр</t>
  </si>
  <si>
    <t xml:space="preserve">Устройство обрешетки с прозорами из досок и брусков под кровлю: из листовой стали, 100 м2
НР 71%=83%*0.85 от ФОТ
СП 52%=65%*0.8 от ФОТ
 </t>
  </si>
  <si>
    <t>1766,82
169,52</t>
  </si>
  <si>
    <t>26,57
4,32</t>
  </si>
  <si>
    <t xml:space="preserve">84.31 Устройство обрешетки с прозорами из досок и брусков под кровлю: из листовой стали: ОЗП=16,9; ЭМ=10,15; ЗПМ=16,9; МАТ=5,26
 </t>
  </si>
  <si>
    <t>527
143</t>
  </si>
  <si>
    <t>21,35
0,32</t>
  </si>
  <si>
    <t>41,68
0,62</t>
  </si>
  <si>
    <t>ФЕР10-01-008-05
--------------------
Приказ Минстроя России от 12.11.14 №703/пр</t>
  </si>
  <si>
    <t xml:space="preserve">Устройство: карнизов и лобовой доски, 100 м2 стен, фронтонов (за вычетом проемов) и развернутых поверхностей карнизов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90%=118%*(0.9*0.85) от ФОТ
СП 43%=63%*(0.85*0.8) от ФОТ
 </t>
  </si>
  <si>
    <t>5516,45
1402,76</t>
  </si>
  <si>
    <t xml:space="preserve">10.12. Устройство карнизов: ОЗП=16,9; ЭМ=11,76; ЗПМ=16,9; МАТ=6,51
 </t>
  </si>
  <si>
    <t>ФССЦ-203-0367
--------------------
Приказ Минстроя России от 12.11.14 №703/пр</t>
  </si>
  <si>
    <t xml:space="preserve">Обшивка наружная и внутренняя из древесины тип: 0-1; 0-2; 0-3 толщиной 13 мм, шириной без гребня от 70 до 90 мм, м3
 </t>
  </si>
  <si>
    <t xml:space="preserve">Обшивка наружняя и внутренняя из древесины типа 0-1, 0-2, 0-3 толщиной 13 мм, шириной без гребня от 70 до 90 мм; МАТ=9,398
 </t>
  </si>
  <si>
    <t>ФССЦ-102-0048
--------------------
Приказ Минстроя России от 12.11.14 №703/пр</t>
  </si>
  <si>
    <t xml:space="preserve">Доски обрезные хвойных пород длиной: 4-6,5 м, шириной 75-150, мм толщиной 19-22 мм, II сорта, м3
 </t>
  </si>
  <si>
    <t xml:space="preserve">Доски обрезные хвойных пород длиной: 4-6,5 м, шириной 75-150, мм толщиной 19-22 мм, II сорта; МАТ=3,679
 </t>
  </si>
  <si>
    <t>ФЕР10-01-008-04
--------------------
Приказ Минстроя России от 12.11.14 №703/пр</t>
  </si>
  <si>
    <t xml:space="preserve">Устройство: фронтонов, 100 м2 стен, фронтонов (за вычетом проемов) и развернутых поверхностей карнизов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90%=118%*(0.9*0.85) от ФОТ
СП 43%=63%*(0.85*0.8) от ФОТ
 </t>
  </si>
  <si>
    <t>5445,29
667,05</t>
  </si>
  <si>
    <t xml:space="preserve">10.11. Устройство фронтонов: ОЗП=16,9; ЭМ=11,79; ЗПМ=16,9; МАТ=7,31
 </t>
  </si>
  <si>
    <t>ФССЦ-101-2404
--------------------
Приказ Минстроя России от 12.11.14 №703/пр</t>
  </si>
  <si>
    <t xml:space="preserve">Угол наружный, внутренний из оцинкованной стали с полимерным покрытием, п.м
 </t>
  </si>
  <si>
    <t xml:space="preserve">Угол наружный, внутренний из оцинкованной стали с полимерным покрытием; МАТ=16,38
 </t>
  </si>
  <si>
    <t>ФССЦ-101-2405
--------------------
Приказ Минстроя России от 12.11.14 №703/пр</t>
  </si>
  <si>
    <t xml:space="preserve">Начальная планка из оцинкованной стали с полимерным покрытием, п.м
 </t>
  </si>
  <si>
    <t xml:space="preserve">Начальная планка из оцинкованной стали с полимерным покрытием; МАТ=1,188
 </t>
  </si>
  <si>
    <t>ФЕР10-01-044-12
--------------------
Приказ Минстроя РФ от 30.01.14 №31/пр</t>
  </si>
  <si>
    <t xml:space="preserve">Обивка карниза,фронтона оцинкованной кровельной сталью: по дереву с одной стороны, 100 м2 проемов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90%=118%*(0.9*0.85) от ФОТ
СП 43%=63%*(0.85*0.8) от ФОТ
 </t>
  </si>
  <si>
    <t>8845,62
749,66</t>
  </si>
  <si>
    <t>21,79
1,19</t>
  </si>
  <si>
    <t xml:space="preserve">10.116 Обивка дверей оцинкованной кровельной сталью: по дереву: ОЗП=16,9; ЭМ=11,4; ЗПМ=16,9; МАТ=3,77
 </t>
  </si>
  <si>
    <t>156
13</t>
  </si>
  <si>
    <t>91,7585
0,0875</t>
  </si>
  <si>
    <t>57,65
0,06</t>
  </si>
  <si>
    <t>ФССЦ-101-1706
--------------------
Приказ Минстроя России от 12.11.14 №703/пр</t>
  </si>
  <si>
    <t xml:space="preserve">Сталь листовая оцинкованная толщиной листа: 0,5 мм, т
 </t>
  </si>
  <si>
    <t xml:space="preserve">Сталь оцинкованная листовая толщиной листа 0,5 мм; МАТ=3,769
 </t>
  </si>
  <si>
    <t>ФССЦ-101-3190
--------------------
Приказ Минстроя России от 12.11.14 №703/пр</t>
  </si>
  <si>
    <t xml:space="preserve">Сталь оцинкованная в рулонах толщиной 0,5 мм, с полимерным покрытием, т
 </t>
  </si>
  <si>
    <t>0,253331
3,84*62,83*1,05/1000</t>
  </si>
  <si>
    <t xml:space="preserve">Сталь оцинкованная в рулонах толщиной 0,5 мм, с полимерным покрытием; МАТ=7,086
 </t>
  </si>
  <si>
    <t>ФЕР26-02-018-01
--------------------
Приказ Минстроя РФ от 30.01.14 №31/пр</t>
  </si>
  <si>
    <t xml:space="preserve">Огнебиозащитное покрытие деревянных конструкций составом"Пирилакс" любой модификации при помощи аэрозольно-капельного распыления для обеспечивания: первой группы огнезащитной эффективности по НПБ251, 100 м2 обрабатываемой поверхности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77%=100%*(0.9*0.85) от ФОТ
СП 48%=70%*(0.85*0.8) от ФОТ
 </t>
  </si>
  <si>
    <t>286,45
141,19</t>
  </si>
  <si>
    <t>143,43
2,03</t>
  </si>
  <si>
    <t xml:space="preserve">26.104 Огнебиозащитное покрытие деревянных конструкций составами 'Пирилакс' (любой модификации): ОЗП=16,9; ЭМ=11,38; ЗПМ=16,9; МАТ=19,16
 </t>
  </si>
  <si>
    <t>21848
458</t>
  </si>
  <si>
    <t>14,8465
0,175</t>
  </si>
  <si>
    <t>198,74
2,34</t>
  </si>
  <si>
    <t>ФССЦ-113-8072
--------------------
Приказ Минстроя России от 12.11.14 №703/пр</t>
  </si>
  <si>
    <t xml:space="preserve">Антисептик-антипирен «ПИРИЛАКС-ЛЮКС» для древесины, кг
 </t>
  </si>
  <si>
    <t xml:space="preserve">ТССЦ-113-0515-0005  226,44/18,53=12,234; МАТ=12,234
 </t>
  </si>
  <si>
    <t>ФЕР10-01-003-01
--------------------
Приказ Минстроя РФ от 30.01.14 №31/пр</t>
  </si>
  <si>
    <t xml:space="preserve">Устройство слуховых окон, 1 слуховое окно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90%=118%*(0.9*0.85) от ФОТ
СП 43%=63%*(0.85*0.8) от ФОТ
 </t>
  </si>
  <si>
    <t>392,81
65,03</t>
  </si>
  <si>
    <t>27,58
1,86</t>
  </si>
  <si>
    <t xml:space="preserve">10.5. Устройство слуховых окон: ОЗП=16,9; ЭМ=11,27; ЗПМ=16,9; МАТ=5,43
 </t>
  </si>
  <si>
    <t>311
31</t>
  </si>
  <si>
    <t>7,6245
0,1375</t>
  </si>
  <si>
    <t>7,62
0,14</t>
  </si>
  <si>
    <t>ФССЦ-101-2001
--------------------
Приказ Минстроя России от 12.11.14 №703/пр</t>
  </si>
  <si>
    <t xml:space="preserve">Шпингалеты дверные размером 230х26 мм, оцинкованные или окрашенные, компл.
 </t>
  </si>
  <si>
    <t xml:space="preserve">Шпингалеты дверные размером 230x26 мм, оцинкованные или окрашенные; МАТ=1,986
 </t>
  </si>
  <si>
    <t>ФССЦ-101-2007
--------------------
Приказ Минстроя России от 12.11.14 №703/пр</t>
  </si>
  <si>
    <t xml:space="preserve">Петли форточные накладные размером 70х55 мм, компл.
 </t>
  </si>
  <si>
    <t xml:space="preserve">Петли форточные накладные размером 70x55 мм; МАТ=2,338
 </t>
  </si>
  <si>
    <t>ФЕР09-03-029-01
--------------------
Приказ Минстроя РФ от 30.01.14 №31/пр</t>
  </si>
  <si>
    <t xml:space="preserve">Монтаж лестниц прямолинейных и криволинейных, пожарных с ограждением, 1 т конструкций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69%=90%*(0.9*0.85) от ФОТ
СП 58%=85%*(0.85*0.8) от ФОТ
 </t>
  </si>
  <si>
    <t>1303,28
349,92</t>
  </si>
  <si>
    <t>864,86
95,31</t>
  </si>
  <si>
    <t xml:space="preserve">9.35 Монтаж лестниц прямолинейных и криволинейных, пожарных с ограждением: ОЗП=16,9; ЭМ=10,51; ЗПМ=16,9; МАТ=5,2
 </t>
  </si>
  <si>
    <t>177
31</t>
  </si>
  <si>
    <t>37,2255
7,05</t>
  </si>
  <si>
    <t>0,72
0,14</t>
  </si>
  <si>
    <t>ФССЦ-201-0777
--------------------
Приказ Минстроя России от 12.11.14 №703/пр</t>
  </si>
  <si>
    <t xml:space="preserve">Конструктивные элементы вспомогательного назначения: с преобладанием профильного проката собираемые из двух и более деталей, с отверстиями и без отверстий, соединяемые на сварке, т
 </t>
  </si>
  <si>
    <t xml:space="preserve">Конструктивные элементы вспомогательного назначения, с преобладанием профильного проката: собираемые из двух и более деталей, с отверстиями и без, соединяемые на сварке; МАТ=7,534
 </t>
  </si>
  <si>
    <t>ФЕР13-03-004-26
--------------------
Приказ Минстроя РФ от 30.01.14 №31/пр</t>
  </si>
  <si>
    <t xml:space="preserve">Окраска металлических огрунтованных поверхностей: эмалью ПФ-115, 100 м2 окрашиваемой поверхности
(ПЗ=2 (ОЗП=2; ЭМ=2 к расх.; ЗПМ=2; МАТ=2 к расх.; ТЗ=2; ТЗМ=2);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69%=90%*(0.9*0.85) от ФОТ
СП 48%=70%*(0.85*0.8) от ФОТ
 </t>
  </si>
  <si>
    <t>658,01
79,9</t>
  </si>
  <si>
    <t>15,55
0,25</t>
  </si>
  <si>
    <t xml:space="preserve">13.100 Окраска металлических огрунтованных поверхностей: эмалью ПФ-115: ОЗП=16,9; ЭМ=10,78; ЗПМ=16,9; МАТ=4,94
 </t>
  </si>
  <si>
    <t>8,809
0,025</t>
  </si>
  <si>
    <t>ФЕР12-01-012-01
--------------------
Приказ Минстроя РФ от 30.01.14 №31/пр</t>
  </si>
  <si>
    <t xml:space="preserve">Ограждение кровель перилами, 100 м ограждения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92%=120%*(0.9*0.85) от ФОТ
СП 44%=65%*(0.85*0.8) от ФОТ
 </t>
  </si>
  <si>
    <t>3170,1
67,97</t>
  </si>
  <si>
    <t>69,23
4,9</t>
  </si>
  <si>
    <t xml:space="preserve">12.29. Ограждение кровель перилами: ОЗП=16,9; ЭМ=10,11; ЗПМ=16,9; МАТ=7,51
 </t>
  </si>
  <si>
    <t>411
49</t>
  </si>
  <si>
    <t>7,6705
0,3625</t>
  </si>
  <si>
    <t>4,51
0,21</t>
  </si>
  <si>
    <t xml:space="preserve">Добавить до проектного объема:Конструктивные элементы вспомогательного назначения: с преобладанием профильного проката собираемые из двух и более деталей, с отверстиями и без отверстий, соединяемые на сварке, т
 </t>
  </si>
  <si>
    <t>ФЕР12-01-011-01
--------------------
Приказ Минстроя РФ от 30.01.14 №31/пр</t>
  </si>
  <si>
    <t xml:space="preserve">Устройство колпаков над шахтами в два канала, 1 колпак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92%=120%*(0.9*0.85) от ФОТ
СП 44%=65%*(0.85*0.8) от ФОТ
 </t>
  </si>
  <si>
    <t>446,82
18,93</t>
  </si>
  <si>
    <t xml:space="preserve">12.28. Устройство колпаков над шахтами: ОЗП=16,9; ЭМ=11,84; ЗПМ=16,9; МАТ=3,48
 </t>
  </si>
  <si>
    <t>ФЕР12-01-023-01
--------------------
Приказ Минстроя РФ от 30.01.14 №31/пр</t>
  </si>
  <si>
    <t xml:space="preserve">Устройство кровли из металлочерепицы по готовым прогонам: простая кровля, 100 м2 кровли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92%=120%*(0.9*0.85) от ФОТ
СП 44%=65%*(0.85*0.8) от ФОТ
 </t>
  </si>
  <si>
    <t>9676,33
382,84</t>
  </si>
  <si>
    <t>144,05
13,34</t>
  </si>
  <si>
    <t xml:space="preserve">12.51. Устройство кровли из металлочерепицы (с отделочным покрытием): ОЗП=16,9; ЭМ=11,31; ЗПМ=16,9; МАТ=3,48
 </t>
  </si>
  <si>
    <t>6057
838</t>
  </si>
  <si>
    <t>44,3095
0,9875</t>
  </si>
  <si>
    <t>164,73
3,67</t>
  </si>
  <si>
    <t>ФССЦ-101-4136
--------------------
Приказ Минстроя России от 12.11.14 №703/пр</t>
  </si>
  <si>
    <t xml:space="preserve">Металлочерепица «Монтеррей»; МАТ=3,676
 </t>
  </si>
  <si>
    <t>Металлпрофиль</t>
  </si>
  <si>
    <t>390,369
371,78*1,05</t>
  </si>
  <si>
    <t xml:space="preserve">Материалы; МАТ=5,56
 </t>
  </si>
  <si>
    <t>ФЕРр58-13-1
--------------------
Приказ Минстроя РФ от 30.01.14 №31/пр</t>
  </si>
  <si>
    <t xml:space="preserve">Устройство покрытия из рулонных материалов: насухо без промазки кромок, 100 м2 кровли
НР 71%=83%*0.85 от ФОТ
СП 52%=65%*0.8 от ФОТ
 </t>
  </si>
  <si>
    <t>924,81
36,25</t>
  </si>
  <si>
    <t>Составил:____________________________</t>
  </si>
  <si>
    <t>Проведена проверка достоверности определения сметной стоимости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</si>
</sst>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\ yy"/>
    <numFmt numFmtId="169" formatCode="mmmm\ yy"/>
    <numFmt numFmtId="170" formatCode="0000"/>
    <numFmt numFmtId="171" formatCode="mmmm\ yyyy"/>
    <numFmt numFmtId="172" formatCode="0.0"/>
    <numFmt numFmtId="173" formatCode="0.000"/>
    <numFmt numFmtId="174" formatCode="0.00000"/>
    <numFmt numFmtId="175" formatCode="0.0000"/>
    <numFmt numFmtId="176" formatCode="[$-FC19]d\ mmmm\ yyyy\ &quot;г.&quot;"/>
  </numFmts>
  <fonts count="56">
    <font>
      <sz val="10"/>
      <name val="Arial Cyr"/>
      <family val="0"/>
    </font>
    <font>
      <b/>
      <sz val="10"/>
      <name val="Arial Cyr"/>
      <family val="0"/>
    </font>
    <font>
      <sz val="10"/>
      <name val="Arial Unicode MS"/>
      <family val="2"/>
    </font>
    <font>
      <u val="single"/>
      <sz val="10"/>
      <color indexed="12"/>
      <name val="Arial Cyr"/>
      <family val="0"/>
    </font>
    <font>
      <b/>
      <i/>
      <sz val="10"/>
      <name val="Arial Cyr"/>
      <family val="0"/>
    </font>
    <font>
      <b/>
      <sz val="10"/>
      <color indexed="10"/>
      <name val="Arial Cyr"/>
      <family val="0"/>
    </font>
    <font>
      <sz val="10"/>
      <name val="Times New Roman"/>
      <family val="1"/>
    </font>
    <font>
      <b/>
      <sz val="12"/>
      <name val="Arial Cyr"/>
      <family val="0"/>
    </font>
    <font>
      <sz val="10"/>
      <color indexed="12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i/>
      <u val="single"/>
      <sz val="10"/>
      <name val="Arial Cyr"/>
      <family val="0"/>
    </font>
    <font>
      <i/>
      <sz val="10"/>
      <name val="Arial Cyr"/>
      <family val="0"/>
    </font>
    <font>
      <sz val="9"/>
      <name val="Times New Roman"/>
      <family val="1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sz val="10"/>
      <color rgb="FFFF0000"/>
      <name val="Arial Cyr"/>
      <family val="0"/>
    </font>
    <font>
      <b/>
      <sz val="8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6" fillId="0" borderId="1">
      <alignment horizontal="center"/>
      <protection/>
    </xf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2" applyNumberFormat="0" applyAlignment="0" applyProtection="0"/>
    <xf numFmtId="0" fontId="6" fillId="0" borderId="1">
      <alignment horizontal="center"/>
      <protection/>
    </xf>
    <xf numFmtId="0" fontId="39" fillId="26" borderId="3" applyNumberFormat="0" applyAlignment="0" applyProtection="0"/>
    <xf numFmtId="0" fontId="40" fillId="26" borderId="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6" fillId="0" borderId="0">
      <alignment horizontal="right" vertical="top" wrapText="1"/>
      <protection/>
    </xf>
    <xf numFmtId="0" fontId="45" fillId="27" borderId="8" applyNumberFormat="0" applyAlignment="0" applyProtection="0"/>
    <xf numFmtId="0" fontId="6" fillId="0" borderId="1">
      <alignment horizontal="center" wrapText="1"/>
      <protection/>
    </xf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1">
      <alignment horizontal="center"/>
      <protection/>
    </xf>
    <xf numFmtId="0" fontId="14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6" fillId="0" borderId="1">
      <alignment horizontal="center"/>
      <protection/>
    </xf>
    <xf numFmtId="0" fontId="6" fillId="0" borderId="1">
      <alignment horizontal="center"/>
      <protection/>
    </xf>
    <xf numFmtId="0" fontId="50" fillId="0" borderId="10" applyNumberFormat="0" applyFill="0" applyAlignment="0" applyProtection="0"/>
    <xf numFmtId="0" fontId="6" fillId="0" borderId="0">
      <alignment horizontal="center" vertical="top" wrapText="1"/>
      <protection/>
    </xf>
    <xf numFmtId="0" fontId="51" fillId="0" borderId="0" applyNumberFormat="0" applyFill="0" applyBorder="0" applyAlignment="0" applyProtection="0"/>
    <xf numFmtId="0" fontId="6" fillId="0" borderId="0" applyProtection="0">
      <alignment horizontal="right" indent="1"/>
    </xf>
    <xf numFmtId="0" fontId="6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 horizontal="left" vertical="top"/>
      <protection/>
    </xf>
    <xf numFmtId="0" fontId="52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44" applyAlignment="1" applyProtection="1">
      <alignment/>
      <protection/>
    </xf>
    <xf numFmtId="0" fontId="0" fillId="0" borderId="0" xfId="0" applyAlignment="1">
      <alignment horizontal="left" inden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Alignment="1">
      <alignment horizontal="center" wrapText="1"/>
    </xf>
    <xf numFmtId="49" fontId="1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0" fontId="6" fillId="0" borderId="0" xfId="72" applyAlignment="1">
      <alignment horizontal="center" vertical="top" wrapText="1"/>
      <protection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 wrapText="1"/>
    </xf>
    <xf numFmtId="0" fontId="11" fillId="0" borderId="16" xfId="0" applyFont="1" applyBorder="1" applyAlignment="1">
      <alignment wrapText="1"/>
    </xf>
    <xf numFmtId="49" fontId="1" fillId="0" borderId="17" xfId="0" applyNumberFormat="1" applyFont="1" applyBorder="1" applyAlignment="1">
      <alignment wrapText="1"/>
    </xf>
    <xf numFmtId="0" fontId="12" fillId="0" borderId="16" xfId="0" applyFont="1" applyBorder="1" applyAlignment="1">
      <alignment wrapText="1"/>
    </xf>
    <xf numFmtId="49" fontId="0" fillId="0" borderId="17" xfId="0" applyNumberFormat="1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wrapText="1"/>
    </xf>
    <xf numFmtId="49" fontId="0" fillId="0" borderId="17" xfId="0" applyNumberFormat="1" applyBorder="1" applyAlignment="1">
      <alignment wrapText="1"/>
    </xf>
    <xf numFmtId="0" fontId="8" fillId="0" borderId="16" xfId="0" applyFont="1" applyBorder="1" applyAlignment="1">
      <alignment wrapText="1"/>
    </xf>
    <xf numFmtId="0" fontId="6" fillId="0" borderId="15" xfId="72" applyBorder="1" applyAlignment="1">
      <alignment horizontal="center" vertical="top" wrapText="1"/>
      <protection/>
    </xf>
    <xf numFmtId="49" fontId="0" fillId="0" borderId="16" xfId="0" applyNumberFormat="1" applyBorder="1" applyAlignment="1">
      <alignment wrapText="1"/>
    </xf>
    <xf numFmtId="0" fontId="0" fillId="0" borderId="16" xfId="0" applyFont="1" applyBorder="1" applyAlignment="1">
      <alignment/>
    </xf>
    <xf numFmtId="49" fontId="11" fillId="0" borderId="16" xfId="0" applyNumberFormat="1" applyFont="1" applyBorder="1" applyAlignment="1">
      <alignment wrapText="1"/>
    </xf>
    <xf numFmtId="0" fontId="6" fillId="0" borderId="18" xfId="72" applyBorder="1" applyAlignment="1">
      <alignment horizontal="center" vertical="top" wrapText="1"/>
      <protection/>
    </xf>
    <xf numFmtId="49" fontId="0" fillId="0" borderId="18" xfId="0" applyNumberFormat="1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wrapText="1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 horizont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right" vertical="top" wrapText="1"/>
    </xf>
    <xf numFmtId="0" fontId="13" fillId="0" borderId="0" xfId="0" applyFont="1" applyAlignment="1">
      <alignment horizontal="center"/>
    </xf>
    <xf numFmtId="0" fontId="15" fillId="0" borderId="0" xfId="0" applyFont="1" applyAlignment="1">
      <alignment/>
    </xf>
    <xf numFmtId="0" fontId="13" fillId="0" borderId="0" xfId="54" applyFont="1" applyBorder="1" applyAlignment="1">
      <alignment horizontal="center" wrapText="1"/>
      <protection/>
    </xf>
    <xf numFmtId="0" fontId="13" fillId="0" borderId="0" xfId="0" applyFont="1" applyAlignment="1">
      <alignment horizontal="center" vertical="top"/>
    </xf>
    <xf numFmtId="0" fontId="13" fillId="0" borderId="0" xfId="68" applyFont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0" xfId="68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left" vertical="top"/>
    </xf>
    <xf numFmtId="0" fontId="16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5" fillId="0" borderId="0" xfId="68" applyFont="1" applyAlignment="1">
      <alignment horizontal="center"/>
    </xf>
    <xf numFmtId="0" fontId="13" fillId="0" borderId="0" xfId="0" applyFont="1" applyAlignment="1">
      <alignment horizontal="right"/>
    </xf>
    <xf numFmtId="0" fontId="13" fillId="0" borderId="20" xfId="68" applyFont="1" applyBorder="1" applyAlignment="1">
      <alignment horizontal="left"/>
    </xf>
    <xf numFmtId="0" fontId="13" fillId="0" borderId="20" xfId="0" applyFont="1" applyBorder="1" applyAlignment="1">
      <alignment horizontal="center" vertical="top"/>
    </xf>
    <xf numFmtId="0" fontId="13" fillId="0" borderId="0" xfId="0" applyFont="1" applyBorder="1" applyAlignment="1">
      <alignment horizontal="left"/>
    </xf>
    <xf numFmtId="0" fontId="16" fillId="0" borderId="0" xfId="0" applyFont="1" applyAlignment="1">
      <alignment horizontal="center" vertical="top"/>
    </xf>
    <xf numFmtId="0" fontId="13" fillId="0" borderId="0" xfId="68" applyFont="1" applyAlignment="1" quotePrefix="1">
      <alignment horizontal="left"/>
    </xf>
    <xf numFmtId="0" fontId="13" fillId="0" borderId="0" xfId="69" applyFont="1" applyAlignment="1">
      <alignment horizontal="left"/>
      <protection/>
    </xf>
    <xf numFmtId="0" fontId="13" fillId="0" borderId="0" xfId="0" applyFont="1" applyAlignment="1">
      <alignment horizontal="right" vertical="top"/>
    </xf>
    <xf numFmtId="0" fontId="13" fillId="0" borderId="20" xfId="0" applyFont="1" applyBorder="1" applyAlignment="1">
      <alignment horizontal="right" vertical="top"/>
    </xf>
    <xf numFmtId="0" fontId="13" fillId="0" borderId="0" xfId="0" applyFont="1" applyBorder="1" applyAlignment="1">
      <alignment horizontal="right" vertical="top"/>
    </xf>
    <xf numFmtId="0" fontId="13" fillId="0" borderId="0" xfId="0" applyFont="1" applyBorder="1" applyAlignment="1" quotePrefix="1">
      <alignment horizontal="right" vertical="top"/>
    </xf>
    <xf numFmtId="0" fontId="13" fillId="0" borderId="0" xfId="0" applyFont="1" applyFill="1" applyBorder="1" applyAlignment="1" quotePrefix="1">
      <alignment horizontal="left" vertical="top"/>
    </xf>
    <xf numFmtId="0" fontId="13" fillId="0" borderId="0" xfId="0" applyFont="1" applyBorder="1" applyAlignment="1">
      <alignment horizontal="right" vertical="top" wrapText="1"/>
    </xf>
    <xf numFmtId="0" fontId="13" fillId="0" borderId="0" xfId="0" applyFont="1" applyBorder="1" applyAlignment="1" quotePrefix="1">
      <alignment horizontal="left" vertical="top"/>
    </xf>
    <xf numFmtId="0" fontId="13" fillId="0" borderId="1" xfId="0" applyFont="1" applyBorder="1" applyAlignment="1" quotePrefix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54" applyFont="1" applyBorder="1" applyAlignment="1">
      <alignment horizontal="center" wrapText="1"/>
      <protection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right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1" xfId="0" applyNumberFormat="1" applyFont="1" applyBorder="1" applyAlignment="1">
      <alignment horizontal="right" vertical="top" wrapText="1"/>
    </xf>
    <xf numFmtId="0" fontId="13" fillId="0" borderId="1" xfId="52" applyFont="1" applyBorder="1" applyAlignment="1">
      <alignment horizontal="right" vertical="top" wrapText="1"/>
      <protection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NumberFormat="1" applyFont="1" applyBorder="1" applyAlignment="1">
      <alignment horizontal="right" vertical="top" wrapText="1"/>
    </xf>
    <xf numFmtId="0" fontId="13" fillId="0" borderId="0" xfId="72" applyFont="1" applyAlignment="1">
      <alignment horizontal="left" vertical="top"/>
      <protection/>
    </xf>
    <xf numFmtId="0" fontId="13" fillId="0" borderId="21" xfId="0" applyFont="1" applyBorder="1" applyAlignment="1" quotePrefix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0" xfId="68" applyFont="1" applyAlignment="1">
      <alignment horizontal="left"/>
    </xf>
    <xf numFmtId="0" fontId="13" fillId="0" borderId="20" xfId="68" applyFont="1" applyBorder="1">
      <alignment horizontal="right" indent="1"/>
    </xf>
    <xf numFmtId="0" fontId="13" fillId="0" borderId="22" xfId="68" applyFont="1" applyBorder="1">
      <alignment horizontal="right" indent="1"/>
    </xf>
    <xf numFmtId="0" fontId="13" fillId="0" borderId="23" xfId="0" applyFont="1" applyBorder="1" applyAlignment="1" quotePrefix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6" xfId="0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26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1" xfId="52" applyFont="1" applyBorder="1" applyAlignment="1">
      <alignment horizontal="left" vertical="top" wrapText="1"/>
      <protection/>
    </xf>
    <xf numFmtId="0" fontId="15" fillId="0" borderId="1" xfId="52" applyFont="1" applyBorder="1" applyAlignment="1">
      <alignment horizontal="left" vertical="top" wrapText="1"/>
      <protection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3" fillId="0" borderId="0" xfId="0" applyFont="1" applyAlignment="1">
      <alignment horizontal="right" vertical="top" wrapText="1"/>
    </xf>
    <xf numFmtId="0" fontId="54" fillId="0" borderId="0" xfId="0" applyFont="1" applyAlignment="1">
      <alignment horizontal="right" vertical="top" wrapText="1"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т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едРесурсов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Итоги" xfId="52"/>
    <cellStyle name="Контрольная ячейка" xfId="53"/>
    <cellStyle name="ЛокСмета" xfId="54"/>
    <cellStyle name="Название" xfId="55"/>
    <cellStyle name="Нейтральный" xfId="56"/>
    <cellStyle name="ОбСмета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РесСмета" xfId="63"/>
    <cellStyle name="СводРасч" xfId="64"/>
    <cellStyle name="Связанная ячейка" xfId="65"/>
    <cellStyle name="Список ресурсов" xfId="66"/>
    <cellStyle name="Текст предупреждения" xfId="67"/>
    <cellStyle name="Титул" xfId="68"/>
    <cellStyle name="Титул_Лок.См.Расч.Баз.-Инд.Методом" xfId="69"/>
    <cellStyle name="Comma" xfId="70"/>
    <cellStyle name="Comma [0]" xfId="71"/>
    <cellStyle name="Хвост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279</xdr:row>
      <xdr:rowOff>0</xdr:rowOff>
    </xdr:from>
    <xdr:ext cx="342900" cy="304800"/>
    <xdr:sp>
      <xdr:nvSpPr>
        <xdr:cNvPr id="1" name="AutoShape 2" descr="Выделение примера в справке."/>
        <xdr:cNvSpPr>
          <a:spLocks noChangeAspect="1"/>
        </xdr:cNvSpPr>
      </xdr:nvSpPr>
      <xdr:spPr>
        <a:xfrm>
          <a:off x="15430500" y="46091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300</xdr:row>
      <xdr:rowOff>0</xdr:rowOff>
    </xdr:from>
    <xdr:ext cx="342900" cy="333375"/>
    <xdr:sp>
      <xdr:nvSpPr>
        <xdr:cNvPr id="2" name="AutoShape 3" descr="Токио—Сибуя"/>
        <xdr:cNvSpPr>
          <a:spLocks noChangeAspect="1"/>
        </xdr:cNvSpPr>
      </xdr:nvSpPr>
      <xdr:spPr>
        <a:xfrm>
          <a:off x="15430500" y="49491900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300</xdr:row>
      <xdr:rowOff>0</xdr:rowOff>
    </xdr:from>
    <xdr:ext cx="342900" cy="333375"/>
    <xdr:sp>
      <xdr:nvSpPr>
        <xdr:cNvPr id="3" name="AutoShape 4" descr="Токио—Сибуя"/>
        <xdr:cNvSpPr>
          <a:spLocks noChangeAspect="1"/>
        </xdr:cNvSpPr>
      </xdr:nvSpPr>
      <xdr:spPr>
        <a:xfrm>
          <a:off x="15782925" y="49491900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19050</xdr:colOff>
      <xdr:row>300</xdr:row>
      <xdr:rowOff>0</xdr:rowOff>
    </xdr:from>
    <xdr:ext cx="342900" cy="333375"/>
    <xdr:sp>
      <xdr:nvSpPr>
        <xdr:cNvPr id="4" name="AutoShape 5" descr="Токио—Сибуя"/>
        <xdr:cNvSpPr>
          <a:spLocks noChangeAspect="1"/>
        </xdr:cNvSpPr>
      </xdr:nvSpPr>
      <xdr:spPr>
        <a:xfrm>
          <a:off x="16135350" y="49491900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303</xdr:row>
      <xdr:rowOff>0</xdr:rowOff>
    </xdr:from>
    <xdr:ext cx="342900" cy="333375"/>
    <xdr:sp>
      <xdr:nvSpPr>
        <xdr:cNvPr id="5" name="AutoShape 6" descr="Токио—Сибуя"/>
        <xdr:cNvSpPr>
          <a:spLocks noChangeAspect="1"/>
        </xdr:cNvSpPr>
      </xdr:nvSpPr>
      <xdr:spPr>
        <a:xfrm>
          <a:off x="15430500" y="50034825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303</xdr:row>
      <xdr:rowOff>0</xdr:rowOff>
    </xdr:from>
    <xdr:ext cx="342900" cy="333375"/>
    <xdr:sp>
      <xdr:nvSpPr>
        <xdr:cNvPr id="6" name="AutoShape 7" descr="Токио—Сибуя"/>
        <xdr:cNvSpPr>
          <a:spLocks noChangeAspect="1"/>
        </xdr:cNvSpPr>
      </xdr:nvSpPr>
      <xdr:spPr>
        <a:xfrm>
          <a:off x="15782925" y="50034825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19050</xdr:colOff>
      <xdr:row>303</xdr:row>
      <xdr:rowOff>0</xdr:rowOff>
    </xdr:from>
    <xdr:ext cx="342900" cy="333375"/>
    <xdr:sp>
      <xdr:nvSpPr>
        <xdr:cNvPr id="7" name="AutoShape 8" descr="Токио—Сибуя"/>
        <xdr:cNvSpPr>
          <a:spLocks noChangeAspect="1"/>
        </xdr:cNvSpPr>
      </xdr:nvSpPr>
      <xdr:spPr>
        <a:xfrm>
          <a:off x="16135350" y="50034825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3"/>
  <sheetViews>
    <sheetView showGridLines="0" tabSelected="1" zoomScale="104" zoomScaleNormal="104" zoomScalePageLayoutView="0" workbookViewId="0" topLeftCell="A1">
      <selection activeCell="K12" sqref="K12:M13"/>
    </sheetView>
  </sheetViews>
  <sheetFormatPr defaultColWidth="9.00390625" defaultRowHeight="12.75"/>
  <cols>
    <col min="1" max="1" width="3.375" style="47" customWidth="1"/>
    <col min="2" max="2" width="16.375" style="47" customWidth="1"/>
    <col min="3" max="3" width="30.875" style="47" customWidth="1"/>
    <col min="4" max="4" width="6.875" style="47" customWidth="1"/>
    <col min="5" max="5" width="10.625" style="48" customWidth="1"/>
    <col min="6" max="6" width="10.375" style="48" customWidth="1"/>
    <col min="7" max="7" width="9.875" style="48" customWidth="1"/>
    <col min="8" max="8" width="20.25390625" style="48" customWidth="1"/>
    <col min="9" max="9" width="8.375" style="48" customWidth="1"/>
    <col min="10" max="10" width="8.125" style="48" customWidth="1"/>
    <col min="11" max="11" width="10.125" style="48" customWidth="1"/>
    <col min="12" max="12" width="9.875" style="48" customWidth="1"/>
    <col min="13" max="13" width="7.375" style="48" customWidth="1"/>
    <col min="14" max="14" width="6.875" style="46" customWidth="1"/>
    <col min="15" max="15" width="9.125" style="46" customWidth="1"/>
    <col min="16" max="16" width="19.75390625" style="46" customWidth="1"/>
    <col min="17" max="16384" width="9.125" style="46" customWidth="1"/>
  </cols>
  <sheetData>
    <row r="1" spans="1:13" s="49" customFormat="1" ht="12">
      <c r="A1" s="52"/>
      <c r="B1" s="53"/>
      <c r="C1" s="52"/>
      <c r="E1" s="54"/>
      <c r="F1" s="55" t="s">
        <v>218</v>
      </c>
      <c r="G1" s="54"/>
      <c r="H1" s="56"/>
      <c r="I1" s="52"/>
      <c r="J1" s="52"/>
      <c r="K1" s="52"/>
      <c r="L1" s="52"/>
      <c r="M1" s="52"/>
    </row>
    <row r="2" spans="1:13" s="49" customFormat="1" ht="12">
      <c r="A2" s="57" t="s">
        <v>524</v>
      </c>
      <c r="B2" s="53"/>
      <c r="D2" s="56"/>
      <c r="F2" s="58" t="s">
        <v>309</v>
      </c>
      <c r="G2" s="58"/>
      <c r="I2" s="59"/>
      <c r="J2" s="57"/>
      <c r="K2" s="57" t="s">
        <v>525</v>
      </c>
      <c r="L2" s="57"/>
      <c r="M2" s="52"/>
    </row>
    <row r="3" spans="1:13" s="49" customFormat="1" ht="12">
      <c r="A3" s="57" t="s">
        <v>526</v>
      </c>
      <c r="E3" s="52"/>
      <c r="F3" s="52"/>
      <c r="G3" s="52"/>
      <c r="H3" s="52"/>
      <c r="I3" s="52"/>
      <c r="J3" s="57"/>
      <c r="K3" s="57" t="s">
        <v>234</v>
      </c>
      <c r="L3" s="57"/>
      <c r="M3" s="52"/>
    </row>
    <row r="4" spans="1:13" s="49" customFormat="1" ht="12">
      <c r="A4" s="52"/>
      <c r="B4" s="52"/>
      <c r="C4" s="52"/>
      <c r="F4" s="60" t="s">
        <v>542</v>
      </c>
      <c r="G4" s="52"/>
      <c r="I4" s="52"/>
      <c r="J4" s="52"/>
      <c r="K4" s="52"/>
      <c r="L4" s="52"/>
      <c r="M4" s="52"/>
    </row>
    <row r="5" spans="1:13" s="49" customFormat="1" ht="12">
      <c r="A5" s="52"/>
      <c r="B5" s="52"/>
      <c r="C5" s="52"/>
      <c r="F5" s="52" t="s">
        <v>310</v>
      </c>
      <c r="G5" s="52"/>
      <c r="I5" s="52"/>
      <c r="J5" s="52"/>
      <c r="K5" s="52"/>
      <c r="L5" s="52"/>
      <c r="M5" s="52"/>
    </row>
    <row r="6" spans="1:13" s="49" customFormat="1" ht="12">
      <c r="A6" s="52"/>
      <c r="B6" s="52"/>
      <c r="C6" s="52"/>
      <c r="E6" s="52"/>
      <c r="F6" s="52"/>
      <c r="G6" s="52"/>
      <c r="H6" s="52"/>
      <c r="I6" s="52"/>
      <c r="J6" s="52"/>
      <c r="K6" s="52"/>
      <c r="L6" s="52"/>
      <c r="M6" s="52"/>
    </row>
    <row r="7" spans="1:13" s="49" customFormat="1" ht="12">
      <c r="A7" s="52"/>
      <c r="B7" s="52"/>
      <c r="C7" s="61"/>
      <c r="D7" s="62" t="s">
        <v>216</v>
      </c>
      <c r="E7" s="63"/>
      <c r="F7" s="63"/>
      <c r="G7" s="63"/>
      <c r="H7" s="63"/>
      <c r="I7" s="59"/>
      <c r="J7" s="59"/>
      <c r="K7" s="59"/>
      <c r="L7" s="59"/>
      <c r="M7" s="52"/>
    </row>
    <row r="8" spans="1:13" s="49" customFormat="1" ht="12">
      <c r="A8" s="52"/>
      <c r="B8" s="52"/>
      <c r="C8" s="52"/>
      <c r="D8" s="64" t="s">
        <v>540</v>
      </c>
      <c r="E8" s="58"/>
      <c r="F8" s="58"/>
      <c r="G8" s="58"/>
      <c r="I8" s="59"/>
      <c r="J8" s="59"/>
      <c r="K8" s="59"/>
      <c r="L8" s="59"/>
      <c r="M8" s="52"/>
    </row>
    <row r="9" spans="1:13" s="49" customFormat="1" ht="7.5" customHeight="1">
      <c r="A9" s="65"/>
      <c r="B9" s="65"/>
      <c r="C9" s="52"/>
      <c r="E9" s="52"/>
      <c r="F9" s="52"/>
      <c r="G9" s="52"/>
      <c r="H9" s="52"/>
      <c r="I9" s="52"/>
      <c r="J9" s="52"/>
      <c r="M9" s="52"/>
    </row>
    <row r="10" spans="1:14" ht="12">
      <c r="A10" s="92" t="s">
        <v>543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</row>
    <row r="11" spans="1:10" ht="12">
      <c r="A11" s="66" t="s">
        <v>529</v>
      </c>
      <c r="B11" s="67"/>
      <c r="C11" s="93">
        <v>1154226</v>
      </c>
      <c r="D11" s="93"/>
      <c r="E11" s="93"/>
      <c r="F11" s="57" t="s">
        <v>528</v>
      </c>
      <c r="G11" s="68"/>
      <c r="H11" s="68"/>
      <c r="I11" s="68"/>
      <c r="J11" s="68"/>
    </row>
    <row r="12" spans="1:13" ht="12">
      <c r="A12" s="66" t="s">
        <v>539</v>
      </c>
      <c r="B12" s="67"/>
      <c r="C12" s="69"/>
      <c r="D12" s="94">
        <v>228998</v>
      </c>
      <c r="E12" s="94"/>
      <c r="F12" s="57" t="s">
        <v>528</v>
      </c>
      <c r="G12" s="68"/>
      <c r="H12" s="68"/>
      <c r="I12" s="68"/>
      <c r="J12" s="68"/>
      <c r="K12" s="113" t="s">
        <v>777</v>
      </c>
      <c r="L12" s="114"/>
      <c r="M12" s="114"/>
    </row>
    <row r="13" spans="1:13" ht="12">
      <c r="A13" s="66" t="s">
        <v>217</v>
      </c>
      <c r="B13" s="46"/>
      <c r="C13" s="70"/>
      <c r="D13" s="71"/>
      <c r="E13" s="72"/>
      <c r="F13" s="73"/>
      <c r="G13" s="74"/>
      <c r="H13" s="74"/>
      <c r="I13" s="68"/>
      <c r="J13" s="68"/>
      <c r="K13" s="114"/>
      <c r="L13" s="114"/>
      <c r="M13" s="114"/>
    </row>
    <row r="14" spans="1:14" ht="11.25" customHeight="1">
      <c r="A14" s="52"/>
      <c r="B14" s="57"/>
      <c r="C14" s="57"/>
      <c r="D14" s="52"/>
      <c r="E14" s="68"/>
      <c r="F14" s="68"/>
      <c r="G14" s="68"/>
      <c r="H14" s="69"/>
      <c r="I14" s="68"/>
      <c r="J14" s="68"/>
      <c r="K14" s="68"/>
      <c r="L14" s="68"/>
      <c r="M14" s="68"/>
      <c r="N14" s="46" t="s">
        <v>528</v>
      </c>
    </row>
    <row r="15" spans="1:14" ht="12.75" customHeight="1">
      <c r="A15" s="90" t="s">
        <v>311</v>
      </c>
      <c r="B15" s="90" t="s">
        <v>536</v>
      </c>
      <c r="C15" s="88" t="s">
        <v>541</v>
      </c>
      <c r="D15" s="88" t="s">
        <v>537</v>
      </c>
      <c r="E15" s="99" t="s">
        <v>219</v>
      </c>
      <c r="F15" s="100"/>
      <c r="G15" s="101"/>
      <c r="H15" s="88" t="s">
        <v>523</v>
      </c>
      <c r="I15" s="99" t="s">
        <v>220</v>
      </c>
      <c r="J15" s="105"/>
      <c r="K15" s="105"/>
      <c r="L15" s="96"/>
      <c r="M15" s="95" t="s">
        <v>538</v>
      </c>
      <c r="N15" s="96"/>
    </row>
    <row r="16" spans="1:14" s="50" customFormat="1" ht="38.25" customHeight="1">
      <c r="A16" s="91"/>
      <c r="B16" s="91"/>
      <c r="C16" s="91"/>
      <c r="D16" s="91"/>
      <c r="E16" s="102"/>
      <c r="F16" s="103"/>
      <c r="G16" s="104"/>
      <c r="H16" s="91"/>
      <c r="I16" s="97"/>
      <c r="J16" s="106"/>
      <c r="K16" s="106"/>
      <c r="L16" s="98"/>
      <c r="M16" s="97"/>
      <c r="N16" s="98"/>
    </row>
    <row r="17" spans="1:14" s="50" customFormat="1" ht="12.75" customHeight="1">
      <c r="A17" s="91"/>
      <c r="B17" s="91"/>
      <c r="C17" s="91"/>
      <c r="D17" s="91"/>
      <c r="E17" s="75" t="s">
        <v>531</v>
      </c>
      <c r="F17" s="75" t="s">
        <v>533</v>
      </c>
      <c r="G17" s="88" t="s">
        <v>535</v>
      </c>
      <c r="H17" s="91"/>
      <c r="I17" s="88" t="s">
        <v>531</v>
      </c>
      <c r="J17" s="88" t="s">
        <v>534</v>
      </c>
      <c r="K17" s="75" t="s">
        <v>533</v>
      </c>
      <c r="L17" s="88" t="s">
        <v>535</v>
      </c>
      <c r="M17" s="90" t="s">
        <v>527</v>
      </c>
      <c r="N17" s="88" t="s">
        <v>531</v>
      </c>
    </row>
    <row r="18" spans="1:14" s="50" customFormat="1" ht="11.25" customHeight="1">
      <c r="A18" s="89"/>
      <c r="B18" s="89"/>
      <c r="C18" s="89"/>
      <c r="D18" s="89"/>
      <c r="E18" s="76" t="s">
        <v>530</v>
      </c>
      <c r="F18" s="75" t="s">
        <v>532</v>
      </c>
      <c r="G18" s="89"/>
      <c r="H18" s="89"/>
      <c r="I18" s="89"/>
      <c r="J18" s="89"/>
      <c r="K18" s="75" t="s">
        <v>532</v>
      </c>
      <c r="L18" s="89"/>
      <c r="M18" s="89"/>
      <c r="N18" s="89"/>
    </row>
    <row r="19" spans="1:20" ht="12">
      <c r="A19" s="77">
        <v>1</v>
      </c>
      <c r="B19" s="77">
        <v>2</v>
      </c>
      <c r="C19" s="77">
        <v>3</v>
      </c>
      <c r="D19" s="77">
        <v>4</v>
      </c>
      <c r="E19" s="77">
        <v>5</v>
      </c>
      <c r="F19" s="77">
        <v>6</v>
      </c>
      <c r="G19" s="77">
        <v>7</v>
      </c>
      <c r="H19" s="77">
        <v>8</v>
      </c>
      <c r="I19" s="77">
        <v>9</v>
      </c>
      <c r="J19" s="77">
        <v>10</v>
      </c>
      <c r="K19" s="77">
        <v>11</v>
      </c>
      <c r="L19" s="77">
        <v>12</v>
      </c>
      <c r="M19" s="77">
        <v>13</v>
      </c>
      <c r="N19" s="77">
        <v>14</v>
      </c>
      <c r="O19" s="51"/>
      <c r="P19" s="51"/>
      <c r="Q19" s="51"/>
      <c r="R19" s="51"/>
      <c r="S19" s="51"/>
      <c r="T19" s="51"/>
    </row>
    <row r="20" spans="1:14" ht="17.25" customHeight="1">
      <c r="A20" s="107" t="s">
        <v>545</v>
      </c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</row>
    <row r="21" spans="1:14" ht="60">
      <c r="A21" s="78">
        <v>1</v>
      </c>
      <c r="B21" s="79" t="s">
        <v>546</v>
      </c>
      <c r="C21" s="79" t="s">
        <v>547</v>
      </c>
      <c r="D21" s="78">
        <v>3.437</v>
      </c>
      <c r="E21" s="80" t="s">
        <v>548</v>
      </c>
      <c r="F21" s="80">
        <v>30.64</v>
      </c>
      <c r="G21" s="80"/>
      <c r="H21" s="81" t="s">
        <v>549</v>
      </c>
      <c r="I21" s="82">
        <v>7519</v>
      </c>
      <c r="J21" s="80">
        <v>7204</v>
      </c>
      <c r="K21" s="80">
        <v>315</v>
      </c>
      <c r="L21" s="80" t="str">
        <f>IF(3.437*0=0," ",TEXT(,ROUND((3.437*0*1),2)))</f>
        <v> </v>
      </c>
      <c r="M21" s="80">
        <v>15.9</v>
      </c>
      <c r="N21" s="80">
        <v>54.65</v>
      </c>
    </row>
    <row r="22" spans="1:14" ht="96">
      <c r="A22" s="78">
        <v>2</v>
      </c>
      <c r="B22" s="79" t="s">
        <v>550</v>
      </c>
      <c r="C22" s="79" t="s">
        <v>551</v>
      </c>
      <c r="D22" s="78">
        <v>3.36</v>
      </c>
      <c r="E22" s="80" t="s">
        <v>552</v>
      </c>
      <c r="F22" s="80" t="s">
        <v>553</v>
      </c>
      <c r="G22" s="80"/>
      <c r="H22" s="81" t="s">
        <v>554</v>
      </c>
      <c r="I22" s="82">
        <v>2440</v>
      </c>
      <c r="J22" s="80">
        <v>1945</v>
      </c>
      <c r="K22" s="80" t="s">
        <v>555</v>
      </c>
      <c r="L22" s="80" t="str">
        <f>IF(3.36*0=0," ",TEXT(,ROUND((3.36*0*5.52),2)))</f>
        <v> </v>
      </c>
      <c r="M22" s="80" t="s">
        <v>556</v>
      </c>
      <c r="N22" s="80" t="s">
        <v>557</v>
      </c>
    </row>
    <row r="23" spans="1:14" ht="72">
      <c r="A23" s="78">
        <v>3</v>
      </c>
      <c r="B23" s="79" t="s">
        <v>558</v>
      </c>
      <c r="C23" s="79" t="s">
        <v>559</v>
      </c>
      <c r="D23" s="78">
        <v>3.36</v>
      </c>
      <c r="E23" s="80" t="s">
        <v>560</v>
      </c>
      <c r="F23" s="80" t="s">
        <v>561</v>
      </c>
      <c r="G23" s="80"/>
      <c r="H23" s="81" t="s">
        <v>562</v>
      </c>
      <c r="I23" s="82">
        <v>13918</v>
      </c>
      <c r="J23" s="80">
        <v>12440</v>
      </c>
      <c r="K23" s="80" t="s">
        <v>563</v>
      </c>
      <c r="L23" s="80" t="str">
        <f>IF(3.36*0=0," ",TEXT(,ROUND((3.36*0*1),2)))</f>
        <v> </v>
      </c>
      <c r="M23" s="80" t="s">
        <v>564</v>
      </c>
      <c r="N23" s="80" t="s">
        <v>565</v>
      </c>
    </row>
    <row r="24" spans="1:14" ht="60">
      <c r="A24" s="78">
        <v>4</v>
      </c>
      <c r="B24" s="79" t="s">
        <v>566</v>
      </c>
      <c r="C24" s="79" t="s">
        <v>567</v>
      </c>
      <c r="D24" s="78">
        <v>3.36</v>
      </c>
      <c r="E24" s="80" t="s">
        <v>568</v>
      </c>
      <c r="F24" s="80" t="s">
        <v>569</v>
      </c>
      <c r="G24" s="80"/>
      <c r="H24" s="81" t="s">
        <v>562</v>
      </c>
      <c r="I24" s="82">
        <v>3985</v>
      </c>
      <c r="J24" s="80">
        <v>3035</v>
      </c>
      <c r="K24" s="80" t="s">
        <v>570</v>
      </c>
      <c r="L24" s="80" t="str">
        <f>IF(3.36*0=0," ",TEXT(,ROUND((3.36*0*1),2)))</f>
        <v> </v>
      </c>
      <c r="M24" s="80" t="s">
        <v>571</v>
      </c>
      <c r="N24" s="80" t="s">
        <v>572</v>
      </c>
    </row>
    <row r="25" spans="1:14" ht="60">
      <c r="A25" s="78">
        <v>5</v>
      </c>
      <c r="B25" s="79" t="s">
        <v>573</v>
      </c>
      <c r="C25" s="79" t="s">
        <v>574</v>
      </c>
      <c r="D25" s="78">
        <v>3.36</v>
      </c>
      <c r="E25" s="80" t="s">
        <v>575</v>
      </c>
      <c r="F25" s="80" t="s">
        <v>576</v>
      </c>
      <c r="G25" s="80"/>
      <c r="H25" s="81" t="s">
        <v>562</v>
      </c>
      <c r="I25" s="82">
        <v>8453</v>
      </c>
      <c r="J25" s="80">
        <v>6835</v>
      </c>
      <c r="K25" s="80" t="s">
        <v>577</v>
      </c>
      <c r="L25" s="80" t="str">
        <f>IF(3.36*0=0," ",TEXT(,ROUND((3.36*0*1),2)))</f>
        <v> </v>
      </c>
      <c r="M25" s="80" t="s">
        <v>578</v>
      </c>
      <c r="N25" s="80" t="s">
        <v>579</v>
      </c>
    </row>
    <row r="26" spans="1:14" ht="60">
      <c r="A26" s="78">
        <v>6</v>
      </c>
      <c r="B26" s="79" t="s">
        <v>580</v>
      </c>
      <c r="C26" s="79" t="s">
        <v>581</v>
      </c>
      <c r="D26" s="78">
        <v>0.02</v>
      </c>
      <c r="E26" s="80" t="s">
        <v>582</v>
      </c>
      <c r="F26" s="80">
        <v>10.37</v>
      </c>
      <c r="G26" s="80"/>
      <c r="H26" s="81" t="s">
        <v>583</v>
      </c>
      <c r="I26" s="82">
        <v>917</v>
      </c>
      <c r="J26" s="80">
        <v>916</v>
      </c>
      <c r="K26" s="80">
        <v>1</v>
      </c>
      <c r="L26" s="80" t="str">
        <f>IF(0.02*0=0," ",TEXT(,ROUND((0.02*0*1),2)))</f>
        <v> </v>
      </c>
      <c r="M26" s="80">
        <v>341.3</v>
      </c>
      <c r="N26" s="80">
        <v>6.83</v>
      </c>
    </row>
    <row r="27" spans="1:14" ht="60">
      <c r="A27" s="78">
        <v>7</v>
      </c>
      <c r="B27" s="79" t="s">
        <v>584</v>
      </c>
      <c r="C27" s="79" t="s">
        <v>585</v>
      </c>
      <c r="D27" s="78">
        <v>0.1108</v>
      </c>
      <c r="E27" s="80" t="s">
        <v>586</v>
      </c>
      <c r="F27" s="80" t="s">
        <v>587</v>
      </c>
      <c r="G27" s="80"/>
      <c r="H27" s="81" t="s">
        <v>588</v>
      </c>
      <c r="I27" s="82">
        <v>2618</v>
      </c>
      <c r="J27" s="80">
        <v>2516</v>
      </c>
      <c r="K27" s="80" t="s">
        <v>589</v>
      </c>
      <c r="L27" s="80" t="str">
        <f>IF(0.1108*0=0," ",TEXT(,ROUND((0.1108*0*1),2)))</f>
        <v> </v>
      </c>
      <c r="M27" s="80" t="s">
        <v>590</v>
      </c>
      <c r="N27" s="80" t="s">
        <v>591</v>
      </c>
    </row>
    <row r="28" spans="1:14" ht="72">
      <c r="A28" s="78">
        <v>8</v>
      </c>
      <c r="B28" s="79" t="s">
        <v>592</v>
      </c>
      <c r="C28" s="79" t="s">
        <v>593</v>
      </c>
      <c r="D28" s="78">
        <v>0.023</v>
      </c>
      <c r="E28" s="80" t="s">
        <v>594</v>
      </c>
      <c r="F28" s="80" t="s">
        <v>595</v>
      </c>
      <c r="G28" s="80"/>
      <c r="H28" s="81" t="s">
        <v>596</v>
      </c>
      <c r="I28" s="82">
        <v>282</v>
      </c>
      <c r="J28" s="80">
        <v>281</v>
      </c>
      <c r="K28" s="80" t="s">
        <v>597</v>
      </c>
      <c r="L28" s="80" t="str">
        <f>IF(0.023*0=0," ",TEXT(,ROUND((0.023*0*1),2)))</f>
        <v> </v>
      </c>
      <c r="M28" s="80" t="s">
        <v>598</v>
      </c>
      <c r="N28" s="80" t="s">
        <v>599</v>
      </c>
    </row>
    <row r="29" spans="1:14" ht="72">
      <c r="A29" s="78">
        <v>9</v>
      </c>
      <c r="B29" s="79" t="s">
        <v>600</v>
      </c>
      <c r="C29" s="79" t="s">
        <v>601</v>
      </c>
      <c r="D29" s="78">
        <v>23.89</v>
      </c>
      <c r="E29" s="80">
        <v>17.95</v>
      </c>
      <c r="F29" s="80">
        <v>17.95</v>
      </c>
      <c r="G29" s="80"/>
      <c r="H29" s="81" t="s">
        <v>602</v>
      </c>
      <c r="I29" s="82">
        <v>4842</v>
      </c>
      <c r="J29" s="80"/>
      <c r="K29" s="80">
        <v>4842</v>
      </c>
      <c r="L29" s="80" t="str">
        <f>IF(23.89*0=0," ",TEXT(,ROUND((23.89*0*1),2)))</f>
        <v> </v>
      </c>
      <c r="M29" s="80"/>
      <c r="N29" s="80"/>
    </row>
    <row r="30" spans="1:14" ht="84">
      <c r="A30" s="78">
        <v>10</v>
      </c>
      <c r="B30" s="79" t="s">
        <v>603</v>
      </c>
      <c r="C30" s="79" t="s">
        <v>604</v>
      </c>
      <c r="D30" s="78">
        <v>23.89</v>
      </c>
      <c r="E30" s="80">
        <v>4.8</v>
      </c>
      <c r="F30" s="80">
        <v>4.8</v>
      </c>
      <c r="G30" s="80"/>
      <c r="H30" s="81" t="s">
        <v>605</v>
      </c>
      <c r="I30" s="82">
        <v>1128</v>
      </c>
      <c r="J30" s="80"/>
      <c r="K30" s="80">
        <v>1128</v>
      </c>
      <c r="L30" s="80" t="str">
        <f>IF(23.89*0=0," ",TEXT(,ROUND((23.89*0*1),2)))</f>
        <v> </v>
      </c>
      <c r="M30" s="80"/>
      <c r="N30" s="80"/>
    </row>
    <row r="31" spans="1:14" ht="24">
      <c r="A31" s="108" t="s">
        <v>606</v>
      </c>
      <c r="B31" s="108"/>
      <c r="C31" s="108"/>
      <c r="D31" s="108"/>
      <c r="E31" s="108"/>
      <c r="F31" s="108"/>
      <c r="G31" s="108"/>
      <c r="H31" s="108"/>
      <c r="I31" s="82">
        <v>46102</v>
      </c>
      <c r="J31" s="80">
        <v>35172</v>
      </c>
      <c r="K31" s="80" t="s">
        <v>607</v>
      </c>
      <c r="L31" s="80"/>
      <c r="M31" s="80"/>
      <c r="N31" s="80" t="s">
        <v>608</v>
      </c>
    </row>
    <row r="32" spans="1:14" ht="12">
      <c r="A32" s="108" t="s">
        <v>609</v>
      </c>
      <c r="B32" s="108"/>
      <c r="C32" s="108"/>
      <c r="D32" s="108"/>
      <c r="E32" s="108"/>
      <c r="F32" s="108"/>
      <c r="G32" s="108"/>
      <c r="H32" s="108"/>
      <c r="I32" s="82">
        <v>26908</v>
      </c>
      <c r="J32" s="80"/>
      <c r="K32" s="80"/>
      <c r="L32" s="80"/>
      <c r="M32" s="80"/>
      <c r="N32" s="80"/>
    </row>
    <row r="33" spans="1:14" ht="12">
      <c r="A33" s="108" t="s">
        <v>610</v>
      </c>
      <c r="B33" s="108"/>
      <c r="C33" s="108"/>
      <c r="D33" s="108"/>
      <c r="E33" s="108"/>
      <c r="F33" s="108"/>
      <c r="G33" s="108"/>
      <c r="H33" s="108"/>
      <c r="I33" s="82">
        <v>18294</v>
      </c>
      <c r="J33" s="80"/>
      <c r="K33" s="80"/>
      <c r="L33" s="80"/>
      <c r="M33" s="80"/>
      <c r="N33" s="80"/>
    </row>
    <row r="34" spans="1:14" ht="12">
      <c r="A34" s="107" t="s">
        <v>611</v>
      </c>
      <c r="B34" s="107"/>
      <c r="C34" s="107"/>
      <c r="D34" s="107"/>
      <c r="E34" s="107"/>
      <c r="F34" s="107"/>
      <c r="G34" s="107"/>
      <c r="H34" s="107"/>
      <c r="I34" s="82"/>
      <c r="J34" s="80"/>
      <c r="K34" s="80"/>
      <c r="L34" s="80"/>
      <c r="M34" s="80"/>
      <c r="N34" s="80"/>
    </row>
    <row r="35" spans="1:14" ht="24" customHeight="1">
      <c r="A35" s="108" t="s">
        <v>612</v>
      </c>
      <c r="B35" s="108"/>
      <c r="C35" s="108"/>
      <c r="D35" s="108"/>
      <c r="E35" s="108"/>
      <c r="F35" s="108"/>
      <c r="G35" s="108"/>
      <c r="H35" s="108"/>
      <c r="I35" s="82">
        <v>17028</v>
      </c>
      <c r="J35" s="80"/>
      <c r="K35" s="80"/>
      <c r="L35" s="80"/>
      <c r="M35" s="80"/>
      <c r="N35" s="80">
        <v>54.65</v>
      </c>
    </row>
    <row r="36" spans="1:14" ht="24">
      <c r="A36" s="108" t="s">
        <v>613</v>
      </c>
      <c r="B36" s="108"/>
      <c r="C36" s="108"/>
      <c r="D36" s="108"/>
      <c r="E36" s="108"/>
      <c r="F36" s="108"/>
      <c r="G36" s="108"/>
      <c r="H36" s="108"/>
      <c r="I36" s="82">
        <v>5153</v>
      </c>
      <c r="J36" s="80"/>
      <c r="K36" s="80"/>
      <c r="L36" s="80"/>
      <c r="M36" s="80"/>
      <c r="N36" s="80" t="s">
        <v>557</v>
      </c>
    </row>
    <row r="37" spans="1:14" ht="24">
      <c r="A37" s="108" t="s">
        <v>614</v>
      </c>
      <c r="B37" s="108"/>
      <c r="C37" s="108"/>
      <c r="D37" s="108"/>
      <c r="E37" s="108"/>
      <c r="F37" s="108"/>
      <c r="G37" s="108"/>
      <c r="H37" s="108"/>
      <c r="I37" s="82">
        <v>56926</v>
      </c>
      <c r="J37" s="80"/>
      <c r="K37" s="80"/>
      <c r="L37" s="80"/>
      <c r="M37" s="80"/>
      <c r="N37" s="80" t="s">
        <v>615</v>
      </c>
    </row>
    <row r="38" spans="1:14" ht="24">
      <c r="A38" s="108" t="s">
        <v>616</v>
      </c>
      <c r="B38" s="108"/>
      <c r="C38" s="108"/>
      <c r="D38" s="108"/>
      <c r="E38" s="108"/>
      <c r="F38" s="108"/>
      <c r="G38" s="108"/>
      <c r="H38" s="108"/>
      <c r="I38" s="82">
        <v>5654</v>
      </c>
      <c r="J38" s="80"/>
      <c r="K38" s="80"/>
      <c r="L38" s="80"/>
      <c r="M38" s="80"/>
      <c r="N38" s="80" t="s">
        <v>591</v>
      </c>
    </row>
    <row r="39" spans="1:14" ht="24" customHeight="1">
      <c r="A39" s="108" t="s">
        <v>617</v>
      </c>
      <c r="B39" s="108"/>
      <c r="C39" s="108"/>
      <c r="D39" s="108"/>
      <c r="E39" s="108"/>
      <c r="F39" s="108"/>
      <c r="G39" s="108"/>
      <c r="H39" s="108"/>
      <c r="I39" s="82">
        <v>573</v>
      </c>
      <c r="J39" s="80"/>
      <c r="K39" s="80"/>
      <c r="L39" s="80"/>
      <c r="M39" s="80"/>
      <c r="N39" s="80" t="s">
        <v>599</v>
      </c>
    </row>
    <row r="40" spans="1:14" ht="12">
      <c r="A40" s="108" t="s">
        <v>618</v>
      </c>
      <c r="B40" s="108"/>
      <c r="C40" s="108"/>
      <c r="D40" s="108"/>
      <c r="E40" s="108"/>
      <c r="F40" s="108"/>
      <c r="G40" s="108"/>
      <c r="H40" s="108"/>
      <c r="I40" s="82">
        <v>4842</v>
      </c>
      <c r="J40" s="80"/>
      <c r="K40" s="80"/>
      <c r="L40" s="80"/>
      <c r="M40" s="80"/>
      <c r="N40" s="80"/>
    </row>
    <row r="41" spans="1:14" ht="12">
      <c r="A41" s="108" t="s">
        <v>619</v>
      </c>
      <c r="B41" s="108"/>
      <c r="C41" s="108"/>
      <c r="D41" s="108"/>
      <c r="E41" s="108"/>
      <c r="F41" s="108"/>
      <c r="G41" s="108"/>
      <c r="H41" s="108"/>
      <c r="I41" s="82">
        <v>1128</v>
      </c>
      <c r="J41" s="80"/>
      <c r="K41" s="80"/>
      <c r="L41" s="80"/>
      <c r="M41" s="80"/>
      <c r="N41" s="80"/>
    </row>
    <row r="42" spans="1:14" ht="24">
      <c r="A42" s="108" t="s">
        <v>620</v>
      </c>
      <c r="B42" s="108"/>
      <c r="C42" s="108"/>
      <c r="D42" s="108"/>
      <c r="E42" s="108"/>
      <c r="F42" s="108"/>
      <c r="G42" s="108"/>
      <c r="H42" s="108"/>
      <c r="I42" s="82">
        <v>91304</v>
      </c>
      <c r="J42" s="80"/>
      <c r="K42" s="80"/>
      <c r="L42" s="80"/>
      <c r="M42" s="80"/>
      <c r="N42" s="80" t="s">
        <v>608</v>
      </c>
    </row>
    <row r="43" spans="1:14" ht="12">
      <c r="A43" s="108" t="s">
        <v>621</v>
      </c>
      <c r="B43" s="108"/>
      <c r="C43" s="108"/>
      <c r="D43" s="108"/>
      <c r="E43" s="108"/>
      <c r="F43" s="108"/>
      <c r="G43" s="108"/>
      <c r="H43" s="108"/>
      <c r="I43" s="82"/>
      <c r="J43" s="80"/>
      <c r="K43" s="80"/>
      <c r="L43" s="80"/>
      <c r="M43" s="80"/>
      <c r="N43" s="80"/>
    </row>
    <row r="44" spans="1:14" ht="12">
      <c r="A44" s="108" t="s">
        <v>622</v>
      </c>
      <c r="B44" s="108"/>
      <c r="C44" s="108"/>
      <c r="D44" s="108"/>
      <c r="E44" s="108"/>
      <c r="F44" s="108"/>
      <c r="G44" s="108"/>
      <c r="H44" s="108"/>
      <c r="I44" s="82">
        <v>10930</v>
      </c>
      <c r="J44" s="80"/>
      <c r="K44" s="80"/>
      <c r="L44" s="80"/>
      <c r="M44" s="80"/>
      <c r="N44" s="80"/>
    </row>
    <row r="45" spans="1:14" ht="12">
      <c r="A45" s="108" t="s">
        <v>623</v>
      </c>
      <c r="B45" s="108"/>
      <c r="C45" s="108"/>
      <c r="D45" s="108"/>
      <c r="E45" s="108"/>
      <c r="F45" s="108"/>
      <c r="G45" s="108"/>
      <c r="H45" s="108"/>
      <c r="I45" s="82">
        <v>36206</v>
      </c>
      <c r="J45" s="80"/>
      <c r="K45" s="80"/>
      <c r="L45" s="80"/>
      <c r="M45" s="80"/>
      <c r="N45" s="80"/>
    </row>
    <row r="46" spans="1:14" ht="12">
      <c r="A46" s="108" t="s">
        <v>624</v>
      </c>
      <c r="B46" s="108"/>
      <c r="C46" s="108"/>
      <c r="D46" s="108"/>
      <c r="E46" s="108"/>
      <c r="F46" s="108"/>
      <c r="G46" s="108"/>
      <c r="H46" s="108"/>
      <c r="I46" s="82">
        <v>26908</v>
      </c>
      <c r="J46" s="80"/>
      <c r="K46" s="80"/>
      <c r="L46" s="80"/>
      <c r="M46" s="80"/>
      <c r="N46" s="80"/>
    </row>
    <row r="47" spans="1:14" ht="12">
      <c r="A47" s="108" t="s">
        <v>625</v>
      </c>
      <c r="B47" s="108"/>
      <c r="C47" s="108"/>
      <c r="D47" s="108"/>
      <c r="E47" s="108"/>
      <c r="F47" s="108"/>
      <c r="G47" s="108"/>
      <c r="H47" s="108"/>
      <c r="I47" s="82">
        <v>18294</v>
      </c>
      <c r="J47" s="80"/>
      <c r="K47" s="80"/>
      <c r="L47" s="80"/>
      <c r="M47" s="80"/>
      <c r="N47" s="80"/>
    </row>
    <row r="48" spans="1:14" ht="24">
      <c r="A48" s="107" t="s">
        <v>626</v>
      </c>
      <c r="B48" s="107"/>
      <c r="C48" s="107"/>
      <c r="D48" s="107"/>
      <c r="E48" s="107"/>
      <c r="F48" s="107"/>
      <c r="G48" s="107"/>
      <c r="H48" s="107"/>
      <c r="I48" s="82">
        <v>91304</v>
      </c>
      <c r="J48" s="80"/>
      <c r="K48" s="80"/>
      <c r="L48" s="80"/>
      <c r="M48" s="80"/>
      <c r="N48" s="80" t="s">
        <v>608</v>
      </c>
    </row>
    <row r="49" spans="1:14" ht="17.25" customHeight="1">
      <c r="A49" s="107" t="s">
        <v>627</v>
      </c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</row>
    <row r="50" spans="1:14" ht="72">
      <c r="A50" s="78">
        <v>11</v>
      </c>
      <c r="B50" s="79" t="s">
        <v>628</v>
      </c>
      <c r="C50" s="79" t="s">
        <v>629</v>
      </c>
      <c r="D50" s="78">
        <v>0.004</v>
      </c>
      <c r="E50" s="80" t="s">
        <v>630</v>
      </c>
      <c r="F50" s="80" t="s">
        <v>631</v>
      </c>
      <c r="G50" s="80">
        <v>81187.86</v>
      </c>
      <c r="H50" s="81" t="s">
        <v>632</v>
      </c>
      <c r="I50" s="82">
        <v>2005</v>
      </c>
      <c r="J50" s="80">
        <v>319</v>
      </c>
      <c r="K50" s="80" t="s">
        <v>633</v>
      </c>
      <c r="L50" s="80" t="str">
        <f>IF(0.004*81187.86=0," ",TEXT(,ROUND((0.004*81187.86*4.69),2)))</f>
        <v>1523.08</v>
      </c>
      <c r="M50" s="80" t="s">
        <v>634</v>
      </c>
      <c r="N50" s="80" t="s">
        <v>635</v>
      </c>
    </row>
    <row r="51" spans="1:14" ht="132">
      <c r="A51" s="78">
        <v>12</v>
      </c>
      <c r="B51" s="79" t="s">
        <v>636</v>
      </c>
      <c r="C51" s="79" t="s">
        <v>637</v>
      </c>
      <c r="D51" s="78">
        <v>0.00495</v>
      </c>
      <c r="E51" s="80" t="s">
        <v>638</v>
      </c>
      <c r="F51" s="80" t="s">
        <v>639</v>
      </c>
      <c r="G51" s="80">
        <v>7200</v>
      </c>
      <c r="H51" s="81" t="s">
        <v>640</v>
      </c>
      <c r="I51" s="82">
        <v>190</v>
      </c>
      <c r="J51" s="80">
        <v>49</v>
      </c>
      <c r="K51" s="80">
        <v>3</v>
      </c>
      <c r="L51" s="80" t="str">
        <f>IF(0.00495*7200=0," ",TEXT(,ROUND((0.00495*7200*3.87),2)))</f>
        <v>137.93</v>
      </c>
      <c r="M51" s="80" t="s">
        <v>641</v>
      </c>
      <c r="N51" s="80">
        <v>0.36</v>
      </c>
    </row>
    <row r="52" spans="1:14" ht="120">
      <c r="A52" s="78">
        <v>13</v>
      </c>
      <c r="B52" s="79" t="s">
        <v>642</v>
      </c>
      <c r="C52" s="79" t="s">
        <v>643</v>
      </c>
      <c r="D52" s="78">
        <v>5.289</v>
      </c>
      <c r="E52" s="80" t="s">
        <v>644</v>
      </c>
      <c r="F52" s="80">
        <v>41.89</v>
      </c>
      <c r="G52" s="80">
        <v>2189</v>
      </c>
      <c r="H52" s="81" t="s">
        <v>645</v>
      </c>
      <c r="I52" s="82">
        <v>60937</v>
      </c>
      <c r="J52" s="80">
        <v>19381</v>
      </c>
      <c r="K52" s="80">
        <v>2539</v>
      </c>
      <c r="L52" s="80" t="str">
        <f>IF(5.289*2189=0," ",TEXT(,ROUND((5.289*2189*3.37),2)))</f>
        <v>39016.58</v>
      </c>
      <c r="M52" s="80">
        <v>25.875</v>
      </c>
      <c r="N52" s="80">
        <v>136.85</v>
      </c>
    </row>
    <row r="53" spans="1:14" ht="120">
      <c r="A53" s="78">
        <v>14</v>
      </c>
      <c r="B53" s="79" t="s">
        <v>646</v>
      </c>
      <c r="C53" s="79" t="s">
        <v>647</v>
      </c>
      <c r="D53" s="78">
        <v>9.7</v>
      </c>
      <c r="E53" s="80" t="s">
        <v>648</v>
      </c>
      <c r="F53" s="80" t="s">
        <v>649</v>
      </c>
      <c r="G53" s="80">
        <v>2062.26</v>
      </c>
      <c r="H53" s="81" t="s">
        <v>650</v>
      </c>
      <c r="I53" s="82">
        <v>117094</v>
      </c>
      <c r="J53" s="80">
        <v>37740</v>
      </c>
      <c r="K53" s="80" t="s">
        <v>651</v>
      </c>
      <c r="L53" s="80" t="str">
        <f>IF(9.7*2062.26=0," ",TEXT(,ROUND((9.7*2062.26*3.71),2)))</f>
        <v>74214.55</v>
      </c>
      <c r="M53" s="80" t="s">
        <v>652</v>
      </c>
      <c r="N53" s="80" t="s">
        <v>653</v>
      </c>
    </row>
    <row r="54" spans="1:14" ht="60">
      <c r="A54" s="78">
        <v>15</v>
      </c>
      <c r="B54" s="79" t="s">
        <v>654</v>
      </c>
      <c r="C54" s="79" t="s">
        <v>655</v>
      </c>
      <c r="D54" s="78">
        <v>1.6877</v>
      </c>
      <c r="E54" s="80" t="s">
        <v>656</v>
      </c>
      <c r="F54" s="80" t="s">
        <v>657</v>
      </c>
      <c r="G54" s="80">
        <v>2198.68</v>
      </c>
      <c r="H54" s="81" t="s">
        <v>658</v>
      </c>
      <c r="I54" s="82">
        <v>28365</v>
      </c>
      <c r="J54" s="80">
        <v>7208</v>
      </c>
      <c r="K54" s="80" t="s">
        <v>659</v>
      </c>
      <c r="L54" s="80" t="str">
        <f>IF(1.6877*2198.68=0," ",TEXT(,ROUND((1.6877*2198.68*5.51),2)))</f>
        <v>20446.02</v>
      </c>
      <c r="M54" s="80" t="s">
        <v>660</v>
      </c>
      <c r="N54" s="80" t="s">
        <v>661</v>
      </c>
    </row>
    <row r="55" spans="1:14" ht="72">
      <c r="A55" s="78">
        <v>16</v>
      </c>
      <c r="B55" s="79" t="s">
        <v>662</v>
      </c>
      <c r="C55" s="79" t="s">
        <v>663</v>
      </c>
      <c r="D55" s="78">
        <v>1.9523</v>
      </c>
      <c r="E55" s="80" t="s">
        <v>664</v>
      </c>
      <c r="F55" s="80" t="s">
        <v>665</v>
      </c>
      <c r="G55" s="80">
        <v>1570.73</v>
      </c>
      <c r="H55" s="81" t="s">
        <v>666</v>
      </c>
      <c r="I55" s="82">
        <v>22250</v>
      </c>
      <c r="J55" s="80">
        <v>5593</v>
      </c>
      <c r="K55" s="80" t="s">
        <v>667</v>
      </c>
      <c r="L55" s="80" t="str">
        <f>IF(1.9523*1570.73=0," ",TEXT(,ROUND((1.9523*1570.73*5.26),2)))</f>
        <v>16129.98</v>
      </c>
      <c r="M55" s="80" t="s">
        <v>668</v>
      </c>
      <c r="N55" s="80" t="s">
        <v>669</v>
      </c>
    </row>
    <row r="56" spans="1:14" ht="144">
      <c r="A56" s="78">
        <v>17</v>
      </c>
      <c r="B56" s="79" t="s">
        <v>670</v>
      </c>
      <c r="C56" s="79" t="s">
        <v>671</v>
      </c>
      <c r="D56" s="78">
        <v>0.3694</v>
      </c>
      <c r="E56" s="80" t="s">
        <v>672</v>
      </c>
      <c r="F56" s="80">
        <v>99.76</v>
      </c>
      <c r="G56" s="80">
        <v>4013.93</v>
      </c>
      <c r="H56" s="81" t="s">
        <v>673</v>
      </c>
      <c r="I56" s="82">
        <v>18843</v>
      </c>
      <c r="J56" s="80">
        <v>8757</v>
      </c>
      <c r="K56" s="80">
        <v>433</v>
      </c>
      <c r="L56" s="80" t="str">
        <f>IF(0.3694*4013.93=0," ",TEXT(,ROUND((0.3694*4013.93*6.51),2)))</f>
        <v>9652.67</v>
      </c>
      <c r="M56" s="80">
        <v>164.45</v>
      </c>
      <c r="N56" s="80">
        <v>60.75</v>
      </c>
    </row>
    <row r="57" spans="1:14" ht="72">
      <c r="A57" s="78">
        <v>18</v>
      </c>
      <c r="B57" s="79" t="s">
        <v>674</v>
      </c>
      <c r="C57" s="79" t="s">
        <v>675</v>
      </c>
      <c r="D57" s="78">
        <v>-0.3916</v>
      </c>
      <c r="E57" s="80">
        <v>1784</v>
      </c>
      <c r="F57" s="80"/>
      <c r="G57" s="80">
        <v>1784</v>
      </c>
      <c r="H57" s="81" t="s">
        <v>676</v>
      </c>
      <c r="I57" s="82">
        <v>-6566</v>
      </c>
      <c r="J57" s="80"/>
      <c r="K57" s="80"/>
      <c r="L57" s="80" t="str">
        <f>IF(-0.3916*1784=0," ",TEXT(,ROUND((-0.3916*1784*9.398),2)))</f>
        <v>-6565.58</v>
      </c>
      <c r="M57" s="80"/>
      <c r="N57" s="80"/>
    </row>
    <row r="58" spans="1:14" ht="60">
      <c r="A58" s="78">
        <v>19</v>
      </c>
      <c r="B58" s="79" t="s">
        <v>677</v>
      </c>
      <c r="C58" s="79" t="s">
        <v>678</v>
      </c>
      <c r="D58" s="78">
        <v>0.5001</v>
      </c>
      <c r="E58" s="80">
        <v>1492.01</v>
      </c>
      <c r="F58" s="80"/>
      <c r="G58" s="80">
        <v>1492.01</v>
      </c>
      <c r="H58" s="81" t="s">
        <v>679</v>
      </c>
      <c r="I58" s="82">
        <v>2745</v>
      </c>
      <c r="J58" s="80"/>
      <c r="K58" s="80"/>
      <c r="L58" s="80" t="str">
        <f>IF(0.5001*1492.01=0," ",TEXT(,ROUND((0.5001*1492.01*3.679),2)))</f>
        <v>2745.1</v>
      </c>
      <c r="M58" s="80"/>
      <c r="N58" s="80"/>
    </row>
    <row r="59" spans="1:14" ht="132">
      <c r="A59" s="78">
        <v>20</v>
      </c>
      <c r="B59" s="79" t="s">
        <v>680</v>
      </c>
      <c r="C59" s="79" t="s">
        <v>681</v>
      </c>
      <c r="D59" s="78">
        <v>0.1584</v>
      </c>
      <c r="E59" s="80" t="s">
        <v>682</v>
      </c>
      <c r="F59" s="80">
        <v>115.21</v>
      </c>
      <c r="G59" s="80">
        <v>4663.03</v>
      </c>
      <c r="H59" s="81" t="s">
        <v>683</v>
      </c>
      <c r="I59" s="82">
        <v>7400</v>
      </c>
      <c r="J59" s="80">
        <v>1786</v>
      </c>
      <c r="K59" s="80">
        <v>215</v>
      </c>
      <c r="L59" s="80" t="str">
        <f>IF(0.1584*4663.03=0," ",TEXT(,ROUND((0.1584*4663.03*7.31),2)))</f>
        <v>5399.34</v>
      </c>
      <c r="M59" s="80">
        <v>78.2</v>
      </c>
      <c r="N59" s="80">
        <v>12.39</v>
      </c>
    </row>
    <row r="60" spans="1:14" ht="60">
      <c r="A60" s="78">
        <v>21</v>
      </c>
      <c r="B60" s="79" t="s">
        <v>684</v>
      </c>
      <c r="C60" s="79" t="s">
        <v>685</v>
      </c>
      <c r="D60" s="78">
        <v>57.4</v>
      </c>
      <c r="E60" s="80">
        <v>7.5</v>
      </c>
      <c r="F60" s="80"/>
      <c r="G60" s="80">
        <v>7.5</v>
      </c>
      <c r="H60" s="81" t="s">
        <v>686</v>
      </c>
      <c r="I60" s="82">
        <v>7052</v>
      </c>
      <c r="J60" s="80"/>
      <c r="K60" s="80"/>
      <c r="L60" s="80" t="str">
        <f>IF(57.4*7.5=0," ",TEXT(,ROUND((57.4*7.5*16.38),2)))</f>
        <v>7051.59</v>
      </c>
      <c r="M60" s="80"/>
      <c r="N60" s="80"/>
    </row>
    <row r="61" spans="1:14" ht="60">
      <c r="A61" s="78">
        <v>22</v>
      </c>
      <c r="B61" s="79" t="s">
        <v>687</v>
      </c>
      <c r="C61" s="79" t="s">
        <v>688</v>
      </c>
      <c r="D61" s="78">
        <v>26</v>
      </c>
      <c r="E61" s="80">
        <v>23.15</v>
      </c>
      <c r="F61" s="80"/>
      <c r="G61" s="80">
        <v>23.15</v>
      </c>
      <c r="H61" s="81" t="s">
        <v>689</v>
      </c>
      <c r="I61" s="82">
        <v>715</v>
      </c>
      <c r="J61" s="80"/>
      <c r="K61" s="80"/>
      <c r="L61" s="80" t="str">
        <f>IF(26*23.15=0," ",TEXT(,ROUND((26*23.15*1.188),2)))</f>
        <v>715.06</v>
      </c>
      <c r="M61" s="80"/>
      <c r="N61" s="80"/>
    </row>
    <row r="62" spans="1:14" ht="132">
      <c r="A62" s="78">
        <v>23</v>
      </c>
      <c r="B62" s="79" t="s">
        <v>690</v>
      </c>
      <c r="C62" s="79" t="s">
        <v>691</v>
      </c>
      <c r="D62" s="78">
        <v>0.6283</v>
      </c>
      <c r="E62" s="80" t="s">
        <v>692</v>
      </c>
      <c r="F62" s="80" t="s">
        <v>693</v>
      </c>
      <c r="G62" s="80">
        <v>8074.17</v>
      </c>
      <c r="H62" s="81" t="s">
        <v>694</v>
      </c>
      <c r="I62" s="82">
        <v>27241</v>
      </c>
      <c r="J62" s="80">
        <v>7960</v>
      </c>
      <c r="K62" s="80" t="s">
        <v>695</v>
      </c>
      <c r="L62" s="80" t="str">
        <f>IF(0.6283*8074.17=0," ",TEXT(,ROUND((0.6283*8074.17*3.77),2)))</f>
        <v>19125.21</v>
      </c>
      <c r="M62" s="80" t="s">
        <v>696</v>
      </c>
      <c r="N62" s="80" t="s">
        <v>697</v>
      </c>
    </row>
    <row r="63" spans="1:14" ht="60">
      <c r="A63" s="78">
        <v>24</v>
      </c>
      <c r="B63" s="79" t="s">
        <v>698</v>
      </c>
      <c r="C63" s="79" t="s">
        <v>699</v>
      </c>
      <c r="D63" s="78">
        <v>-0.4524</v>
      </c>
      <c r="E63" s="80">
        <v>11200</v>
      </c>
      <c r="F63" s="80"/>
      <c r="G63" s="80">
        <v>11200</v>
      </c>
      <c r="H63" s="81" t="s">
        <v>700</v>
      </c>
      <c r="I63" s="82">
        <v>-19097</v>
      </c>
      <c r="J63" s="80"/>
      <c r="K63" s="80"/>
      <c r="L63" s="80" t="str">
        <f>IF(-0.4524*11200=0," ",TEXT(,ROUND((-0.4524*11200*3.769),2)))</f>
        <v>-19097.07</v>
      </c>
      <c r="M63" s="80"/>
      <c r="N63" s="80"/>
    </row>
    <row r="64" spans="1:14" ht="72">
      <c r="A64" s="78">
        <v>25</v>
      </c>
      <c r="B64" s="79" t="s">
        <v>701</v>
      </c>
      <c r="C64" s="79" t="s">
        <v>702</v>
      </c>
      <c r="D64" s="78" t="s">
        <v>703</v>
      </c>
      <c r="E64" s="80">
        <v>8715.1</v>
      </c>
      <c r="F64" s="80"/>
      <c r="G64" s="80">
        <v>8715.1</v>
      </c>
      <c r="H64" s="81" t="s">
        <v>704</v>
      </c>
      <c r="I64" s="82">
        <v>15645</v>
      </c>
      <c r="J64" s="80"/>
      <c r="K64" s="80"/>
      <c r="L64" s="80" t="str">
        <f>IF(0.253331*8715.1=0," ",TEXT(,ROUND((0.253331*8715.1*7.086),2)))</f>
        <v>15644.51</v>
      </c>
      <c r="M64" s="80"/>
      <c r="N64" s="80"/>
    </row>
    <row r="65" spans="1:14" ht="180">
      <c r="A65" s="78">
        <v>26</v>
      </c>
      <c r="B65" s="79" t="s">
        <v>705</v>
      </c>
      <c r="C65" s="79" t="s">
        <v>706</v>
      </c>
      <c r="D65" s="78">
        <v>13.386</v>
      </c>
      <c r="E65" s="80" t="s">
        <v>707</v>
      </c>
      <c r="F65" s="80" t="s">
        <v>708</v>
      </c>
      <c r="G65" s="80">
        <v>1.84</v>
      </c>
      <c r="H65" s="81" t="s">
        <v>709</v>
      </c>
      <c r="I65" s="82">
        <v>54260</v>
      </c>
      <c r="J65" s="80">
        <v>31939</v>
      </c>
      <c r="K65" s="80" t="s">
        <v>710</v>
      </c>
      <c r="L65" s="80" t="str">
        <f>IF(13.386*1.84=0," ",TEXT(,ROUND((13.386*1.84*19.16),2)))</f>
        <v>471.92</v>
      </c>
      <c r="M65" s="80" t="s">
        <v>711</v>
      </c>
      <c r="N65" s="80" t="s">
        <v>712</v>
      </c>
    </row>
    <row r="66" spans="1:14" ht="60">
      <c r="A66" s="78">
        <v>27</v>
      </c>
      <c r="B66" s="79" t="s">
        <v>713</v>
      </c>
      <c r="C66" s="79" t="s">
        <v>714</v>
      </c>
      <c r="D66" s="78">
        <v>401.58</v>
      </c>
      <c r="E66" s="80">
        <v>18.53</v>
      </c>
      <c r="F66" s="80"/>
      <c r="G66" s="80">
        <v>18.53</v>
      </c>
      <c r="H66" s="81" t="s">
        <v>715</v>
      </c>
      <c r="I66" s="82">
        <v>91038</v>
      </c>
      <c r="J66" s="80"/>
      <c r="K66" s="80"/>
      <c r="L66" s="80" t="str">
        <f>IF(401.58*18.53=0," ",TEXT(,ROUND((401.58*18.53*12.234),2)))</f>
        <v>91036.59</v>
      </c>
      <c r="M66" s="80"/>
      <c r="N66" s="80"/>
    </row>
    <row r="67" spans="1:14" ht="120">
      <c r="A67" s="78">
        <v>28</v>
      </c>
      <c r="B67" s="79" t="s">
        <v>716</v>
      </c>
      <c r="C67" s="79" t="s">
        <v>717</v>
      </c>
      <c r="D67" s="78">
        <v>1</v>
      </c>
      <c r="E67" s="80" t="s">
        <v>718</v>
      </c>
      <c r="F67" s="80" t="s">
        <v>719</v>
      </c>
      <c r="G67" s="80">
        <v>300.2</v>
      </c>
      <c r="H67" s="81" t="s">
        <v>720</v>
      </c>
      <c r="I67" s="82">
        <v>3040</v>
      </c>
      <c r="J67" s="80">
        <v>1099</v>
      </c>
      <c r="K67" s="80" t="s">
        <v>721</v>
      </c>
      <c r="L67" s="80" t="str">
        <f>IF(1*300.2=0," ",TEXT(,ROUND((1*300.2*5.43),2)))</f>
        <v>1630.09</v>
      </c>
      <c r="M67" s="80" t="s">
        <v>722</v>
      </c>
      <c r="N67" s="80" t="s">
        <v>723</v>
      </c>
    </row>
    <row r="68" spans="1:14" ht="60">
      <c r="A68" s="78">
        <v>29</v>
      </c>
      <c r="B68" s="79" t="s">
        <v>724</v>
      </c>
      <c r="C68" s="79" t="s">
        <v>725</v>
      </c>
      <c r="D68" s="78">
        <v>1</v>
      </c>
      <c r="E68" s="80">
        <v>13.42</v>
      </c>
      <c r="F68" s="80"/>
      <c r="G68" s="80">
        <v>13.42</v>
      </c>
      <c r="H68" s="81" t="s">
        <v>726</v>
      </c>
      <c r="I68" s="82">
        <v>27</v>
      </c>
      <c r="J68" s="80"/>
      <c r="K68" s="80"/>
      <c r="L68" s="80" t="str">
        <f>IF(1*13.42=0," ",TEXT(,ROUND((1*13.42*1.986),2)))</f>
        <v>26.65</v>
      </c>
      <c r="M68" s="80"/>
      <c r="N68" s="80"/>
    </row>
    <row r="69" spans="1:14" ht="60">
      <c r="A69" s="78">
        <v>30</v>
      </c>
      <c r="B69" s="79" t="s">
        <v>727</v>
      </c>
      <c r="C69" s="79" t="s">
        <v>728</v>
      </c>
      <c r="D69" s="78">
        <v>1</v>
      </c>
      <c r="E69" s="80">
        <v>3.74</v>
      </c>
      <c r="F69" s="80"/>
      <c r="G69" s="80">
        <v>3.74</v>
      </c>
      <c r="H69" s="81" t="s">
        <v>729</v>
      </c>
      <c r="I69" s="82">
        <v>9</v>
      </c>
      <c r="J69" s="80"/>
      <c r="K69" s="80"/>
      <c r="L69" s="80" t="str">
        <f>IF(1*3.74=0," ",TEXT(,ROUND((1*3.74*2.338),2)))</f>
        <v>8.74</v>
      </c>
      <c r="M69" s="80"/>
      <c r="N69" s="80"/>
    </row>
    <row r="70" spans="1:14" ht="132">
      <c r="A70" s="78">
        <v>31</v>
      </c>
      <c r="B70" s="79" t="s">
        <v>730</v>
      </c>
      <c r="C70" s="79" t="s">
        <v>731</v>
      </c>
      <c r="D70" s="78">
        <v>0.01946</v>
      </c>
      <c r="E70" s="80" t="s">
        <v>732</v>
      </c>
      <c r="F70" s="80" t="s">
        <v>733</v>
      </c>
      <c r="G70" s="80">
        <v>88.5</v>
      </c>
      <c r="H70" s="81" t="s">
        <v>734</v>
      </c>
      <c r="I70" s="82">
        <v>301</v>
      </c>
      <c r="J70" s="80">
        <v>115</v>
      </c>
      <c r="K70" s="80" t="s">
        <v>735</v>
      </c>
      <c r="L70" s="80" t="str">
        <f>IF(0.01946*88.5=0," ",TEXT(,ROUND((0.01946*88.5*5.2),2)))</f>
        <v>8.96</v>
      </c>
      <c r="M70" s="80" t="s">
        <v>736</v>
      </c>
      <c r="N70" s="80" t="s">
        <v>737</v>
      </c>
    </row>
    <row r="71" spans="1:14" ht="108">
      <c r="A71" s="78">
        <v>32</v>
      </c>
      <c r="B71" s="79" t="s">
        <v>738</v>
      </c>
      <c r="C71" s="79" t="s">
        <v>739</v>
      </c>
      <c r="D71" s="78">
        <v>0.01946</v>
      </c>
      <c r="E71" s="80">
        <v>10045</v>
      </c>
      <c r="F71" s="80"/>
      <c r="G71" s="80">
        <v>10045</v>
      </c>
      <c r="H71" s="81" t="s">
        <v>740</v>
      </c>
      <c r="I71" s="82">
        <v>1473</v>
      </c>
      <c r="J71" s="80"/>
      <c r="K71" s="80"/>
      <c r="L71" s="80" t="str">
        <f>IF(0.01946*10045=0," ",TEXT(,ROUND((0.01946*10045*7.534),2)))</f>
        <v>1472.71</v>
      </c>
      <c r="M71" s="80"/>
      <c r="N71" s="80"/>
    </row>
    <row r="72" spans="1:14" ht="156">
      <c r="A72" s="78">
        <v>33</v>
      </c>
      <c r="B72" s="79" t="s">
        <v>741</v>
      </c>
      <c r="C72" s="79" t="s">
        <v>742</v>
      </c>
      <c r="D72" s="78">
        <v>0.0127</v>
      </c>
      <c r="E72" s="80" t="s">
        <v>743</v>
      </c>
      <c r="F72" s="80" t="s">
        <v>744</v>
      </c>
      <c r="G72" s="80">
        <v>562.56</v>
      </c>
      <c r="H72" s="81" t="s">
        <v>745</v>
      </c>
      <c r="I72" s="82">
        <v>55</v>
      </c>
      <c r="J72" s="80">
        <v>17</v>
      </c>
      <c r="K72" s="80">
        <v>2</v>
      </c>
      <c r="L72" s="80" t="str">
        <f>IF(0.0127*562.56=0," ",TEXT(,ROUND((0.0127*562.56*4.94),2)))</f>
        <v>35.29</v>
      </c>
      <c r="M72" s="80" t="s">
        <v>746</v>
      </c>
      <c r="N72" s="80">
        <v>0.11</v>
      </c>
    </row>
    <row r="73" spans="1:14" ht="120">
      <c r="A73" s="78">
        <v>34</v>
      </c>
      <c r="B73" s="79" t="s">
        <v>747</v>
      </c>
      <c r="C73" s="79" t="s">
        <v>748</v>
      </c>
      <c r="D73" s="78">
        <v>0.5875</v>
      </c>
      <c r="E73" s="80" t="s">
        <v>749</v>
      </c>
      <c r="F73" s="80" t="s">
        <v>750</v>
      </c>
      <c r="G73" s="80">
        <v>3032.91</v>
      </c>
      <c r="H73" s="81" t="s">
        <v>751</v>
      </c>
      <c r="I73" s="82">
        <v>14468</v>
      </c>
      <c r="J73" s="80">
        <v>675</v>
      </c>
      <c r="K73" s="80" t="s">
        <v>752</v>
      </c>
      <c r="L73" s="80" t="str">
        <f>IF(0.5875*3032.91=0," ",TEXT(,ROUND((0.5875*3032.91*7.51),2)))</f>
        <v>13381.58</v>
      </c>
      <c r="M73" s="80" t="s">
        <v>753</v>
      </c>
      <c r="N73" s="80" t="s">
        <v>754</v>
      </c>
    </row>
    <row r="74" spans="1:14" ht="108">
      <c r="A74" s="78">
        <v>35</v>
      </c>
      <c r="B74" s="79" t="s">
        <v>738</v>
      </c>
      <c r="C74" s="79" t="s">
        <v>755</v>
      </c>
      <c r="D74" s="78">
        <v>0.3284</v>
      </c>
      <c r="E74" s="80">
        <v>10045</v>
      </c>
      <c r="F74" s="80"/>
      <c r="G74" s="80">
        <v>10045</v>
      </c>
      <c r="H74" s="81" t="s">
        <v>740</v>
      </c>
      <c r="I74" s="82">
        <v>24853</v>
      </c>
      <c r="J74" s="80"/>
      <c r="K74" s="80"/>
      <c r="L74" s="80" t="str">
        <f>IF(0.3284*10045=0," ",TEXT(,ROUND((0.3284*10045*7.534),2)))</f>
        <v>24852.99</v>
      </c>
      <c r="M74" s="80"/>
      <c r="N74" s="80"/>
    </row>
    <row r="75" spans="1:14" ht="120">
      <c r="A75" s="78">
        <v>36</v>
      </c>
      <c r="B75" s="79" t="s">
        <v>756</v>
      </c>
      <c r="C75" s="79" t="s">
        <v>757</v>
      </c>
      <c r="D75" s="78">
        <v>3</v>
      </c>
      <c r="E75" s="80" t="s">
        <v>758</v>
      </c>
      <c r="F75" s="80">
        <v>1.09</v>
      </c>
      <c r="G75" s="80">
        <v>426.8</v>
      </c>
      <c r="H75" s="81" t="s">
        <v>759</v>
      </c>
      <c r="I75" s="82">
        <v>5454</v>
      </c>
      <c r="J75" s="80">
        <v>960</v>
      </c>
      <c r="K75" s="80">
        <v>39</v>
      </c>
      <c r="L75" s="80" t="str">
        <f>IF(3*426.8=0," ",TEXT(,ROUND((3*426.8*3.48),2)))</f>
        <v>4455.79</v>
      </c>
      <c r="M75" s="80">
        <v>2.2195</v>
      </c>
      <c r="N75" s="80">
        <v>6.66</v>
      </c>
    </row>
    <row r="76" spans="1:14" ht="132">
      <c r="A76" s="78">
        <v>37</v>
      </c>
      <c r="B76" s="79" t="s">
        <v>760</v>
      </c>
      <c r="C76" s="79" t="s">
        <v>761</v>
      </c>
      <c r="D76" s="78">
        <v>3.7178</v>
      </c>
      <c r="E76" s="80" t="s">
        <v>762</v>
      </c>
      <c r="F76" s="80" t="s">
        <v>763</v>
      </c>
      <c r="G76" s="80">
        <v>9149.44</v>
      </c>
      <c r="H76" s="81" t="s">
        <v>764</v>
      </c>
      <c r="I76" s="82">
        <v>148486</v>
      </c>
      <c r="J76" s="80">
        <v>24054</v>
      </c>
      <c r="K76" s="80" t="s">
        <v>765</v>
      </c>
      <c r="L76" s="80" t="str">
        <f>IF(3.7178*9149.44=0," ",TEXT(,ROUND((3.7178*9149.44*3.48),2)))</f>
        <v>118374.94</v>
      </c>
      <c r="M76" s="80" t="s">
        <v>766</v>
      </c>
      <c r="N76" s="80" t="s">
        <v>767</v>
      </c>
    </row>
    <row r="77" spans="1:14" ht="60">
      <c r="A77" s="78">
        <v>38</v>
      </c>
      <c r="B77" s="79" t="s">
        <v>768</v>
      </c>
      <c r="C77" s="79" t="s">
        <v>221</v>
      </c>
      <c r="D77" s="78">
        <v>-453.6</v>
      </c>
      <c r="E77" s="80">
        <v>70.5</v>
      </c>
      <c r="F77" s="80"/>
      <c r="G77" s="80">
        <v>70.5</v>
      </c>
      <c r="H77" s="81" t="s">
        <v>769</v>
      </c>
      <c r="I77" s="82">
        <v>-117555</v>
      </c>
      <c r="J77" s="80"/>
      <c r="K77" s="80"/>
      <c r="L77" s="80" t="str">
        <f>IF(-453.6*70.5=0," ",TEXT(,ROUND((-453.6*70.5*3.676),2)))</f>
        <v>-117554.07</v>
      </c>
      <c r="M77" s="80"/>
      <c r="N77" s="80"/>
    </row>
    <row r="78" spans="1:14" ht="48">
      <c r="A78" s="78">
        <v>39</v>
      </c>
      <c r="B78" s="79" t="s">
        <v>770</v>
      </c>
      <c r="C78" s="79" t="s">
        <v>222</v>
      </c>
      <c r="D78" s="78" t="s">
        <v>771</v>
      </c>
      <c r="E78" s="80">
        <v>70.88</v>
      </c>
      <c r="F78" s="80"/>
      <c r="G78" s="80">
        <v>70.88</v>
      </c>
      <c r="H78" s="81" t="s">
        <v>772</v>
      </c>
      <c r="I78" s="82">
        <v>153841</v>
      </c>
      <c r="J78" s="80"/>
      <c r="K78" s="80"/>
      <c r="L78" s="80" t="str">
        <f>IF(390.369*70.88=0," ",TEXT(,ROUND((390.369*70.88*5.56),2)))</f>
        <v>153841.61</v>
      </c>
      <c r="M78" s="80"/>
      <c r="N78" s="80"/>
    </row>
    <row r="79" spans="1:14" ht="72">
      <c r="A79" s="78">
        <v>40</v>
      </c>
      <c r="B79" s="79" t="s">
        <v>773</v>
      </c>
      <c r="C79" s="79" t="s">
        <v>774</v>
      </c>
      <c r="D79" s="78">
        <v>3.7178</v>
      </c>
      <c r="E79" s="80" t="s">
        <v>775</v>
      </c>
      <c r="F79" s="80">
        <v>5.23</v>
      </c>
      <c r="G79" s="80">
        <v>883.33</v>
      </c>
      <c r="H79" s="81" t="s">
        <v>0</v>
      </c>
      <c r="I79" s="82">
        <v>18961</v>
      </c>
      <c r="J79" s="80">
        <v>2278</v>
      </c>
      <c r="K79" s="80">
        <v>230</v>
      </c>
      <c r="L79" s="80" t="str">
        <f>IF(3.7178*883.33=0," ",TEXT(,ROUND((3.7178*883.33*5.01),2)))</f>
        <v>16453.06</v>
      </c>
      <c r="M79" s="80">
        <v>4.52</v>
      </c>
      <c r="N79" s="80">
        <v>16.8</v>
      </c>
    </row>
    <row r="80" spans="1:14" ht="96">
      <c r="A80" s="78">
        <v>41</v>
      </c>
      <c r="B80" s="79" t="s">
        <v>1</v>
      </c>
      <c r="C80" s="79" t="s">
        <v>2</v>
      </c>
      <c r="D80" s="78">
        <v>-427.5</v>
      </c>
      <c r="E80" s="80">
        <v>7.46</v>
      </c>
      <c r="F80" s="80"/>
      <c r="G80" s="80">
        <v>7.46</v>
      </c>
      <c r="H80" s="81" t="s">
        <v>3</v>
      </c>
      <c r="I80" s="82">
        <v>-15959</v>
      </c>
      <c r="J80" s="80"/>
      <c r="K80" s="80"/>
      <c r="L80" s="80" t="str">
        <f>IF(-427.5*7.46=0," ",TEXT(,ROUND((-427.5*7.46*5.004),2)))</f>
        <v>-15958.51</v>
      </c>
      <c r="M80" s="80"/>
      <c r="N80" s="80"/>
    </row>
    <row r="81" spans="1:14" ht="60">
      <c r="A81" s="78">
        <v>42</v>
      </c>
      <c r="B81" s="79" t="s">
        <v>4</v>
      </c>
      <c r="C81" s="79" t="s">
        <v>5</v>
      </c>
      <c r="D81" s="78">
        <v>42.75</v>
      </c>
      <c r="E81" s="80">
        <v>37.5</v>
      </c>
      <c r="F81" s="80"/>
      <c r="G81" s="80">
        <v>37.5</v>
      </c>
      <c r="H81" s="81" t="s">
        <v>6</v>
      </c>
      <c r="I81" s="82">
        <v>8332</v>
      </c>
      <c r="J81" s="80"/>
      <c r="K81" s="80"/>
      <c r="L81" s="80" t="str">
        <f>IF(42.75*37.5=0," ",TEXT(,ROUND((42.75*37.5*5.197),2)))</f>
        <v>8331.44</v>
      </c>
      <c r="M81" s="80"/>
      <c r="N81" s="80"/>
    </row>
    <row r="82" spans="1:14" ht="24">
      <c r="A82" s="78">
        <v>43</v>
      </c>
      <c r="B82" s="79" t="s">
        <v>7</v>
      </c>
      <c r="C82" s="79" t="s">
        <v>8</v>
      </c>
      <c r="D82" s="78">
        <v>234</v>
      </c>
      <c r="E82" s="80">
        <v>1.85</v>
      </c>
      <c r="F82" s="80"/>
      <c r="G82" s="80">
        <v>1.85</v>
      </c>
      <c r="H82" s="81" t="s">
        <v>772</v>
      </c>
      <c r="I82" s="82">
        <v>2408</v>
      </c>
      <c r="J82" s="80"/>
      <c r="K82" s="80"/>
      <c r="L82" s="80" t="str">
        <f>IF(234*1.85=0," ",TEXT(,ROUND((234*1.85*5.56),2)))</f>
        <v>2406.92</v>
      </c>
      <c r="M82" s="80"/>
      <c r="N82" s="80"/>
    </row>
    <row r="83" spans="1:14" ht="60">
      <c r="A83" s="78">
        <v>44</v>
      </c>
      <c r="B83" s="79" t="s">
        <v>701</v>
      </c>
      <c r="C83" s="79" t="s">
        <v>9</v>
      </c>
      <c r="D83" s="78" t="s">
        <v>10</v>
      </c>
      <c r="E83" s="80">
        <v>8715.1</v>
      </c>
      <c r="F83" s="80"/>
      <c r="G83" s="80">
        <v>8715.1</v>
      </c>
      <c r="H83" s="81" t="s">
        <v>704</v>
      </c>
      <c r="I83" s="82">
        <v>21401</v>
      </c>
      <c r="J83" s="80"/>
      <c r="K83" s="80"/>
      <c r="L83" s="80" t="str">
        <f>IF(0.34655*8715.1=0," ",TEXT(,ROUND((0.34655*8715.1*7.086),2)))</f>
        <v>21401.26</v>
      </c>
      <c r="M83" s="80"/>
      <c r="N83" s="80"/>
    </row>
    <row r="84" spans="1:14" ht="132">
      <c r="A84" s="78">
        <v>45</v>
      </c>
      <c r="B84" s="79" t="s">
        <v>11</v>
      </c>
      <c r="C84" s="79" t="s">
        <v>12</v>
      </c>
      <c r="D84" s="78">
        <v>0.085</v>
      </c>
      <c r="E84" s="80" t="s">
        <v>13</v>
      </c>
      <c r="F84" s="80" t="s">
        <v>14</v>
      </c>
      <c r="G84" s="80">
        <v>831.97</v>
      </c>
      <c r="H84" s="81" t="s">
        <v>15</v>
      </c>
      <c r="I84" s="82">
        <v>968</v>
      </c>
      <c r="J84" s="80">
        <v>389</v>
      </c>
      <c r="K84" s="80" t="s">
        <v>16</v>
      </c>
      <c r="L84" s="80" t="str">
        <f>IF(0.085*831.97=0," ",TEXT(,ROUND((0.085*831.97*5.74),2)))</f>
        <v>405.92</v>
      </c>
      <c r="M84" s="80" t="s">
        <v>17</v>
      </c>
      <c r="N84" s="80" t="s">
        <v>18</v>
      </c>
    </row>
    <row r="85" spans="1:14" ht="168">
      <c r="A85" s="78">
        <v>46</v>
      </c>
      <c r="B85" s="79" t="s">
        <v>19</v>
      </c>
      <c r="C85" s="79" t="s">
        <v>20</v>
      </c>
      <c r="D85" s="78">
        <v>0.085</v>
      </c>
      <c r="E85" s="80" t="s">
        <v>21</v>
      </c>
      <c r="F85" s="80" t="s">
        <v>22</v>
      </c>
      <c r="G85" s="80">
        <v>265.1</v>
      </c>
      <c r="H85" s="81" t="s">
        <v>15</v>
      </c>
      <c r="I85" s="82">
        <v>213</v>
      </c>
      <c r="J85" s="80">
        <v>71</v>
      </c>
      <c r="K85" s="80" t="s">
        <v>23</v>
      </c>
      <c r="L85" s="80" t="str">
        <f>IF(0.085*265.1=0," ",TEXT(,ROUND((0.085*265.1*5.74),2)))</f>
        <v>129.34</v>
      </c>
      <c r="M85" s="80" t="s">
        <v>24</v>
      </c>
      <c r="N85" s="80" t="s">
        <v>25</v>
      </c>
    </row>
    <row r="86" spans="1:14" ht="120">
      <c r="A86" s="78">
        <v>47</v>
      </c>
      <c r="B86" s="79" t="s">
        <v>26</v>
      </c>
      <c r="C86" s="79" t="s">
        <v>27</v>
      </c>
      <c r="D86" s="78">
        <v>139.4</v>
      </c>
      <c r="E86" s="80" t="s">
        <v>28</v>
      </c>
      <c r="F86" s="80">
        <v>0.69</v>
      </c>
      <c r="G86" s="80"/>
      <c r="H86" s="81" t="s">
        <v>29</v>
      </c>
      <c r="I86" s="82">
        <v>8459</v>
      </c>
      <c r="J86" s="80">
        <v>8264</v>
      </c>
      <c r="K86" s="80">
        <v>195</v>
      </c>
      <c r="L86" s="80" t="str">
        <f>IF(139.4*0=0," ",TEXT(,ROUND((139.4*0*1),2)))</f>
        <v> </v>
      </c>
      <c r="M86" s="80">
        <v>0.391</v>
      </c>
      <c r="N86" s="80">
        <v>54.51</v>
      </c>
    </row>
    <row r="87" spans="1:14" ht="120">
      <c r="A87" s="78">
        <v>48</v>
      </c>
      <c r="B87" s="79" t="s">
        <v>30</v>
      </c>
      <c r="C87" s="79" t="s">
        <v>31</v>
      </c>
      <c r="D87" s="78">
        <v>0.32</v>
      </c>
      <c r="E87" s="80" t="s">
        <v>32</v>
      </c>
      <c r="F87" s="80" t="s">
        <v>33</v>
      </c>
      <c r="G87" s="80">
        <v>8890.58</v>
      </c>
      <c r="H87" s="81" t="s">
        <v>34</v>
      </c>
      <c r="I87" s="82">
        <v>15995</v>
      </c>
      <c r="J87" s="80">
        <v>5981</v>
      </c>
      <c r="K87" s="80" t="s">
        <v>35</v>
      </c>
      <c r="L87" s="80" t="str">
        <f>IF(0.32*8890.58=0," ",TEXT(,ROUND((0.32*8890.58*3.48),2)))</f>
        <v>9900.55</v>
      </c>
      <c r="M87" s="80" t="s">
        <v>36</v>
      </c>
      <c r="N87" s="80" t="s">
        <v>37</v>
      </c>
    </row>
    <row r="88" spans="1:14" ht="60">
      <c r="A88" s="78">
        <v>49</v>
      </c>
      <c r="B88" s="79" t="s">
        <v>38</v>
      </c>
      <c r="C88" s="79" t="s">
        <v>223</v>
      </c>
      <c r="D88" s="78">
        <v>-0.2502</v>
      </c>
      <c r="E88" s="80">
        <v>11200</v>
      </c>
      <c r="F88" s="80"/>
      <c r="G88" s="80">
        <v>11200</v>
      </c>
      <c r="H88" s="81" t="s">
        <v>39</v>
      </c>
      <c r="I88" s="82">
        <v>-9735</v>
      </c>
      <c r="J88" s="80"/>
      <c r="K88" s="80"/>
      <c r="L88" s="80" t="str">
        <f>IF(-0.2502*11200=0," ",TEXT(,ROUND((-0.2502*11200*3.474),2)))</f>
        <v>-9734.98</v>
      </c>
      <c r="M88" s="80"/>
      <c r="N88" s="80"/>
    </row>
    <row r="89" spans="1:14" ht="72">
      <c r="A89" s="78">
        <v>50</v>
      </c>
      <c r="B89" s="79" t="s">
        <v>701</v>
      </c>
      <c r="C89" s="79" t="s">
        <v>702</v>
      </c>
      <c r="D89" s="78" t="s">
        <v>40</v>
      </c>
      <c r="E89" s="80">
        <v>8715.1</v>
      </c>
      <c r="F89" s="80"/>
      <c r="G89" s="80">
        <v>8715.1</v>
      </c>
      <c r="H89" s="81" t="s">
        <v>704</v>
      </c>
      <c r="I89" s="82">
        <v>7968</v>
      </c>
      <c r="J89" s="80"/>
      <c r="K89" s="80"/>
      <c r="L89" s="80" t="str">
        <f>IF(0.129024*8715.1=0," ",TEXT(,ROUND((0.129024*8715.1*7.086),2)))</f>
        <v>7967.9</v>
      </c>
      <c r="M89" s="80"/>
      <c r="N89" s="80"/>
    </row>
    <row r="90" spans="1:14" ht="132">
      <c r="A90" s="78">
        <v>51</v>
      </c>
      <c r="B90" s="79" t="s">
        <v>690</v>
      </c>
      <c r="C90" s="79" t="s">
        <v>41</v>
      </c>
      <c r="D90" s="78">
        <v>0.057</v>
      </c>
      <c r="E90" s="80" t="s">
        <v>692</v>
      </c>
      <c r="F90" s="80" t="s">
        <v>693</v>
      </c>
      <c r="G90" s="80">
        <v>8074.17</v>
      </c>
      <c r="H90" s="81" t="s">
        <v>694</v>
      </c>
      <c r="I90" s="82">
        <v>2471</v>
      </c>
      <c r="J90" s="80">
        <v>722</v>
      </c>
      <c r="K90" s="80" t="s">
        <v>42</v>
      </c>
      <c r="L90" s="80" t="str">
        <f>IF(0.057*8074.17=0," ",TEXT(,ROUND((0.057*8074.17*3.77),2)))</f>
        <v>1735.06</v>
      </c>
      <c r="M90" s="80" t="s">
        <v>696</v>
      </c>
      <c r="N90" s="80" t="s">
        <v>43</v>
      </c>
    </row>
    <row r="91" spans="1:14" ht="60">
      <c r="A91" s="78">
        <v>52</v>
      </c>
      <c r="B91" s="79" t="s">
        <v>698</v>
      </c>
      <c r="C91" s="79" t="s">
        <v>224</v>
      </c>
      <c r="D91" s="78">
        <v>-0.041</v>
      </c>
      <c r="E91" s="80">
        <v>11200</v>
      </c>
      <c r="F91" s="80"/>
      <c r="G91" s="80">
        <v>11200</v>
      </c>
      <c r="H91" s="81" t="s">
        <v>700</v>
      </c>
      <c r="I91" s="82">
        <v>-1731</v>
      </c>
      <c r="J91" s="80"/>
      <c r="K91" s="80"/>
      <c r="L91" s="80" t="str">
        <f>IF(-0.041*11200=0," ",TEXT(,ROUND((-0.041*11200*3.769),2)))</f>
        <v>-1730.72</v>
      </c>
      <c r="M91" s="80"/>
      <c r="N91" s="80"/>
    </row>
    <row r="92" spans="1:14" ht="72">
      <c r="A92" s="78">
        <v>53</v>
      </c>
      <c r="B92" s="79" t="s">
        <v>701</v>
      </c>
      <c r="C92" s="79" t="s">
        <v>702</v>
      </c>
      <c r="D92" s="78" t="s">
        <v>44</v>
      </c>
      <c r="E92" s="80">
        <v>8715.1</v>
      </c>
      <c r="F92" s="80"/>
      <c r="G92" s="80">
        <v>8715.1</v>
      </c>
      <c r="H92" s="81" t="s">
        <v>704</v>
      </c>
      <c r="I92" s="82">
        <v>1419</v>
      </c>
      <c r="J92" s="80"/>
      <c r="K92" s="80"/>
      <c r="L92" s="80" t="str">
        <f>IF(0.022982*8715.1=0," ",TEXT(,ROUND((0.022982*8715.1*7.086),2)))</f>
        <v>1419.26</v>
      </c>
      <c r="M92" s="80"/>
      <c r="N92" s="80"/>
    </row>
    <row r="93" spans="1:14" ht="120">
      <c r="A93" s="78">
        <v>54</v>
      </c>
      <c r="B93" s="79" t="s">
        <v>747</v>
      </c>
      <c r="C93" s="79" t="s">
        <v>45</v>
      </c>
      <c r="D93" s="78">
        <v>0.2808</v>
      </c>
      <c r="E93" s="80" t="s">
        <v>749</v>
      </c>
      <c r="F93" s="80" t="s">
        <v>750</v>
      </c>
      <c r="G93" s="80">
        <v>3032.91</v>
      </c>
      <c r="H93" s="81" t="s">
        <v>751</v>
      </c>
      <c r="I93" s="82">
        <v>6915</v>
      </c>
      <c r="J93" s="80">
        <v>323</v>
      </c>
      <c r="K93" s="80" t="s">
        <v>46</v>
      </c>
      <c r="L93" s="80" t="str">
        <f>IF(0.2808*3032.91=0," ",TEXT(,ROUND((0.2808*3032.91*7.51),2)))</f>
        <v>6395.82</v>
      </c>
      <c r="M93" s="80" t="s">
        <v>753</v>
      </c>
      <c r="N93" s="80" t="s">
        <v>47</v>
      </c>
    </row>
    <row r="94" spans="1:14" ht="108">
      <c r="A94" s="78">
        <v>55</v>
      </c>
      <c r="B94" s="79" t="s">
        <v>738</v>
      </c>
      <c r="C94" s="79" t="s">
        <v>739</v>
      </c>
      <c r="D94" s="78">
        <v>-0.0842</v>
      </c>
      <c r="E94" s="80">
        <v>10045</v>
      </c>
      <c r="F94" s="80"/>
      <c r="G94" s="80">
        <v>10045</v>
      </c>
      <c r="H94" s="81" t="s">
        <v>740</v>
      </c>
      <c r="I94" s="82">
        <v>-6372</v>
      </c>
      <c r="J94" s="80"/>
      <c r="K94" s="80"/>
      <c r="L94" s="80" t="str">
        <f>IF(-0.0842*10045=0," ",TEXT(,ROUND((-0.0842*10045*7.534),2)))</f>
        <v>-6372.17</v>
      </c>
      <c r="M94" s="80"/>
      <c r="N94" s="80"/>
    </row>
    <row r="95" spans="1:14" ht="60">
      <c r="A95" s="78">
        <v>56</v>
      </c>
      <c r="B95" s="79" t="s">
        <v>48</v>
      </c>
      <c r="C95" s="79" t="s">
        <v>49</v>
      </c>
      <c r="D95" s="78">
        <v>28.08</v>
      </c>
      <c r="E95" s="80">
        <v>12.03</v>
      </c>
      <c r="F95" s="80"/>
      <c r="G95" s="80">
        <v>12.03</v>
      </c>
      <c r="H95" s="81" t="s">
        <v>50</v>
      </c>
      <c r="I95" s="82">
        <v>2337</v>
      </c>
      <c r="J95" s="80"/>
      <c r="K95" s="80"/>
      <c r="L95" s="80" t="str">
        <f>IF(28.08*12.03=0," ",TEXT(,ROUND((28.08*12.03*6.919),2)))</f>
        <v>2337.25</v>
      </c>
      <c r="M95" s="80"/>
      <c r="N95" s="80"/>
    </row>
    <row r="96" spans="1:14" ht="60">
      <c r="A96" s="78">
        <v>57</v>
      </c>
      <c r="B96" s="79" t="s">
        <v>51</v>
      </c>
      <c r="C96" s="79" t="s">
        <v>52</v>
      </c>
      <c r="D96" s="78">
        <v>1.1</v>
      </c>
      <c r="E96" s="80">
        <v>23</v>
      </c>
      <c r="F96" s="80"/>
      <c r="G96" s="80">
        <v>23</v>
      </c>
      <c r="H96" s="81" t="s">
        <v>53</v>
      </c>
      <c r="I96" s="82">
        <v>57</v>
      </c>
      <c r="J96" s="80"/>
      <c r="K96" s="80"/>
      <c r="L96" s="80" t="str">
        <f>IF(1.1*23=0," ",TEXT(,ROUND((1.1*23*2.257),2)))</f>
        <v>57.1</v>
      </c>
      <c r="M96" s="80"/>
      <c r="N96" s="80"/>
    </row>
    <row r="97" spans="1:14" ht="132">
      <c r="A97" s="78">
        <v>58</v>
      </c>
      <c r="B97" s="79" t="s">
        <v>642</v>
      </c>
      <c r="C97" s="79" t="s">
        <v>54</v>
      </c>
      <c r="D97" s="78">
        <v>0.021</v>
      </c>
      <c r="E97" s="80" t="s">
        <v>644</v>
      </c>
      <c r="F97" s="80">
        <v>41.89</v>
      </c>
      <c r="G97" s="80">
        <v>2189</v>
      </c>
      <c r="H97" s="81" t="s">
        <v>645</v>
      </c>
      <c r="I97" s="82">
        <v>242</v>
      </c>
      <c r="J97" s="80">
        <v>77</v>
      </c>
      <c r="K97" s="80">
        <v>10</v>
      </c>
      <c r="L97" s="80" t="str">
        <f>IF(0.021*2189=0," ",TEXT(,ROUND((0.021*2189*3.37),2)))</f>
        <v>154.92</v>
      </c>
      <c r="M97" s="80">
        <v>25.875</v>
      </c>
      <c r="N97" s="80">
        <v>0.54</v>
      </c>
    </row>
    <row r="98" spans="1:14" ht="120">
      <c r="A98" s="78">
        <v>59</v>
      </c>
      <c r="B98" s="79" t="s">
        <v>747</v>
      </c>
      <c r="C98" s="79" t="s">
        <v>55</v>
      </c>
      <c r="D98" s="78">
        <v>0.025</v>
      </c>
      <c r="E98" s="80" t="s">
        <v>749</v>
      </c>
      <c r="F98" s="80" t="s">
        <v>750</v>
      </c>
      <c r="G98" s="80">
        <v>3032.91</v>
      </c>
      <c r="H98" s="81" t="s">
        <v>751</v>
      </c>
      <c r="I98" s="82">
        <v>616</v>
      </c>
      <c r="J98" s="80">
        <v>29</v>
      </c>
      <c r="K98" s="80" t="s">
        <v>56</v>
      </c>
      <c r="L98" s="80" t="str">
        <f>IF(0.025*3032.91=0," ",TEXT(,ROUND((0.025*3032.91*7.51),2)))</f>
        <v>569.43</v>
      </c>
      <c r="M98" s="80" t="s">
        <v>753</v>
      </c>
      <c r="N98" s="80" t="s">
        <v>57</v>
      </c>
    </row>
    <row r="99" spans="1:14" ht="108">
      <c r="A99" s="78">
        <v>60</v>
      </c>
      <c r="B99" s="79" t="s">
        <v>738</v>
      </c>
      <c r="C99" s="79" t="s">
        <v>739</v>
      </c>
      <c r="D99" s="78">
        <v>-0.0075</v>
      </c>
      <c r="E99" s="80">
        <v>10045</v>
      </c>
      <c r="F99" s="80"/>
      <c r="G99" s="80">
        <v>10045</v>
      </c>
      <c r="H99" s="81" t="s">
        <v>740</v>
      </c>
      <c r="I99" s="82">
        <v>-568</v>
      </c>
      <c r="J99" s="80"/>
      <c r="K99" s="80"/>
      <c r="L99" s="80" t="str">
        <f>IF(-0.0075*10045=0," ",TEXT(,ROUND((-0.0075*10045*7.534),2)))</f>
        <v>-567.59</v>
      </c>
      <c r="M99" s="80"/>
      <c r="N99" s="80"/>
    </row>
    <row r="100" spans="1:14" ht="72">
      <c r="A100" s="78">
        <v>61</v>
      </c>
      <c r="B100" s="79" t="s">
        <v>58</v>
      </c>
      <c r="C100" s="79" t="s">
        <v>59</v>
      </c>
      <c r="D100" s="78">
        <v>0.02</v>
      </c>
      <c r="E100" s="80">
        <v>11879.76</v>
      </c>
      <c r="F100" s="80"/>
      <c r="G100" s="80">
        <v>11879.76</v>
      </c>
      <c r="H100" s="81" t="s">
        <v>60</v>
      </c>
      <c r="I100" s="82">
        <v>1438</v>
      </c>
      <c r="J100" s="80"/>
      <c r="K100" s="80"/>
      <c r="L100" s="80" t="str">
        <f>IF(0.02*11879.76=0," ",TEXT(,ROUND((0.02*11879.76*6.053),2)))</f>
        <v>1438.16</v>
      </c>
      <c r="M100" s="80"/>
      <c r="N100" s="80"/>
    </row>
    <row r="101" spans="1:14" ht="120">
      <c r="A101" s="78">
        <v>62</v>
      </c>
      <c r="B101" s="79" t="s">
        <v>61</v>
      </c>
      <c r="C101" s="79" t="s">
        <v>62</v>
      </c>
      <c r="D101" s="78">
        <v>0.02</v>
      </c>
      <c r="E101" s="80" t="s">
        <v>63</v>
      </c>
      <c r="F101" s="80" t="s">
        <v>64</v>
      </c>
      <c r="G101" s="80">
        <v>1633.35</v>
      </c>
      <c r="H101" s="81" t="s">
        <v>65</v>
      </c>
      <c r="I101" s="82">
        <v>384</v>
      </c>
      <c r="J101" s="80">
        <v>234</v>
      </c>
      <c r="K101" s="80" t="s">
        <v>66</v>
      </c>
      <c r="L101" s="80" t="str">
        <f>IF(0.02*1633.35=0," ",TEXT(,ROUND((0.02*1633.35*2.33),2)))</f>
        <v>76.11</v>
      </c>
      <c r="M101" s="80" t="s">
        <v>67</v>
      </c>
      <c r="N101" s="80" t="s">
        <v>68</v>
      </c>
    </row>
    <row r="102" spans="1:14" ht="60">
      <c r="A102" s="78">
        <v>63</v>
      </c>
      <c r="B102" s="79" t="s">
        <v>69</v>
      </c>
      <c r="C102" s="79" t="s">
        <v>225</v>
      </c>
      <c r="D102" s="78">
        <v>2.392</v>
      </c>
      <c r="E102" s="80">
        <v>161.47</v>
      </c>
      <c r="F102" s="80"/>
      <c r="G102" s="80">
        <v>161.47</v>
      </c>
      <c r="H102" s="81" t="s">
        <v>70</v>
      </c>
      <c r="I102" s="82">
        <v>2601</v>
      </c>
      <c r="J102" s="80"/>
      <c r="K102" s="80"/>
      <c r="L102" s="80" t="str">
        <f>IF(2.392*161.47=0," ",TEXT(,ROUND((2.392*161.47*6.733),2)))</f>
        <v>2600.53</v>
      </c>
      <c r="M102" s="80"/>
      <c r="N102" s="80"/>
    </row>
    <row r="103" spans="1:14" ht="60">
      <c r="A103" s="78">
        <v>64</v>
      </c>
      <c r="B103" s="79" t="s">
        <v>724</v>
      </c>
      <c r="C103" s="79" t="s">
        <v>725</v>
      </c>
      <c r="D103" s="78">
        <v>2</v>
      </c>
      <c r="E103" s="80">
        <v>13.42</v>
      </c>
      <c r="F103" s="80"/>
      <c r="G103" s="80">
        <v>13.42</v>
      </c>
      <c r="H103" s="81" t="s">
        <v>726</v>
      </c>
      <c r="I103" s="82">
        <v>53</v>
      </c>
      <c r="J103" s="80"/>
      <c r="K103" s="80"/>
      <c r="L103" s="80" t="str">
        <f>IF(2*13.42=0," ",TEXT(,ROUND((2*13.42*1.986),2)))</f>
        <v>53.3</v>
      </c>
      <c r="M103" s="80"/>
      <c r="N103" s="80"/>
    </row>
    <row r="104" spans="1:14" ht="60">
      <c r="A104" s="78">
        <v>65</v>
      </c>
      <c r="B104" s="79" t="s">
        <v>727</v>
      </c>
      <c r="C104" s="79" t="s">
        <v>728</v>
      </c>
      <c r="D104" s="78">
        <v>2</v>
      </c>
      <c r="E104" s="80">
        <v>3.74</v>
      </c>
      <c r="F104" s="80"/>
      <c r="G104" s="80">
        <v>3.74</v>
      </c>
      <c r="H104" s="81" t="s">
        <v>729</v>
      </c>
      <c r="I104" s="82">
        <v>17</v>
      </c>
      <c r="J104" s="80"/>
      <c r="K104" s="80"/>
      <c r="L104" s="80" t="str">
        <f>IF(2*3.74=0," ",TEXT(,ROUND((2*3.74*2.338),2)))</f>
        <v>17.49</v>
      </c>
      <c r="M104" s="80"/>
      <c r="N104" s="80"/>
    </row>
    <row r="105" spans="1:14" ht="24">
      <c r="A105" s="108" t="s">
        <v>606</v>
      </c>
      <c r="B105" s="108"/>
      <c r="C105" s="108"/>
      <c r="D105" s="108"/>
      <c r="E105" s="108"/>
      <c r="F105" s="108"/>
      <c r="G105" s="108"/>
      <c r="H105" s="108"/>
      <c r="I105" s="82">
        <v>733459</v>
      </c>
      <c r="J105" s="80">
        <v>166020</v>
      </c>
      <c r="K105" s="80" t="s">
        <v>71</v>
      </c>
      <c r="L105" s="80">
        <v>527673</v>
      </c>
      <c r="M105" s="80"/>
      <c r="N105" s="80" t="s">
        <v>72</v>
      </c>
    </row>
    <row r="106" spans="1:14" ht="12">
      <c r="A106" s="108" t="s">
        <v>609</v>
      </c>
      <c r="B106" s="108"/>
      <c r="C106" s="108"/>
      <c r="D106" s="108"/>
      <c r="E106" s="108"/>
      <c r="F106" s="108"/>
      <c r="G106" s="108"/>
      <c r="H106" s="108"/>
      <c r="I106" s="82">
        <v>143176</v>
      </c>
      <c r="J106" s="80"/>
      <c r="K106" s="80"/>
      <c r="L106" s="80"/>
      <c r="M106" s="80"/>
      <c r="N106" s="80"/>
    </row>
    <row r="107" spans="1:14" ht="12">
      <c r="A107" s="108" t="s">
        <v>610</v>
      </c>
      <c r="B107" s="108"/>
      <c r="C107" s="108"/>
      <c r="D107" s="108"/>
      <c r="E107" s="108"/>
      <c r="F107" s="108"/>
      <c r="G107" s="108"/>
      <c r="H107" s="108"/>
      <c r="I107" s="82">
        <v>77023</v>
      </c>
      <c r="J107" s="80"/>
      <c r="K107" s="80"/>
      <c r="L107" s="80"/>
      <c r="M107" s="80"/>
      <c r="N107" s="80"/>
    </row>
    <row r="108" spans="1:14" ht="12">
      <c r="A108" s="107" t="s">
        <v>73</v>
      </c>
      <c r="B108" s="107"/>
      <c r="C108" s="107"/>
      <c r="D108" s="107"/>
      <c r="E108" s="107"/>
      <c r="F108" s="107"/>
      <c r="G108" s="107"/>
      <c r="H108" s="107"/>
      <c r="I108" s="82"/>
      <c r="J108" s="80"/>
      <c r="K108" s="80"/>
      <c r="L108" s="80"/>
      <c r="M108" s="80"/>
      <c r="N108" s="80"/>
    </row>
    <row r="109" spans="1:14" ht="24">
      <c r="A109" s="108" t="s">
        <v>74</v>
      </c>
      <c r="B109" s="108"/>
      <c r="C109" s="108"/>
      <c r="D109" s="108"/>
      <c r="E109" s="108"/>
      <c r="F109" s="108"/>
      <c r="G109" s="108"/>
      <c r="H109" s="108"/>
      <c r="I109" s="82">
        <v>2463</v>
      </c>
      <c r="J109" s="80"/>
      <c r="K109" s="80"/>
      <c r="L109" s="80"/>
      <c r="M109" s="80"/>
      <c r="N109" s="80" t="s">
        <v>635</v>
      </c>
    </row>
    <row r="110" spans="1:14" ht="12">
      <c r="A110" s="108" t="s">
        <v>75</v>
      </c>
      <c r="B110" s="108"/>
      <c r="C110" s="108"/>
      <c r="D110" s="108"/>
      <c r="E110" s="108"/>
      <c r="F110" s="108"/>
      <c r="G110" s="108"/>
      <c r="H110" s="108"/>
      <c r="I110" s="82">
        <v>262</v>
      </c>
      <c r="J110" s="80"/>
      <c r="K110" s="80"/>
      <c r="L110" s="80"/>
      <c r="M110" s="80"/>
      <c r="N110" s="80">
        <v>0.36</v>
      </c>
    </row>
    <row r="111" spans="1:14" ht="24">
      <c r="A111" s="108" t="s">
        <v>76</v>
      </c>
      <c r="B111" s="108"/>
      <c r="C111" s="108"/>
      <c r="D111" s="108"/>
      <c r="E111" s="108"/>
      <c r="F111" s="108"/>
      <c r="G111" s="108"/>
      <c r="H111" s="108"/>
      <c r="I111" s="82">
        <v>344295</v>
      </c>
      <c r="J111" s="80"/>
      <c r="K111" s="80"/>
      <c r="L111" s="80"/>
      <c r="M111" s="80"/>
      <c r="N111" s="80" t="s">
        <v>77</v>
      </c>
    </row>
    <row r="112" spans="1:14" ht="24">
      <c r="A112" s="108" t="s">
        <v>614</v>
      </c>
      <c r="B112" s="108"/>
      <c r="C112" s="108"/>
      <c r="D112" s="108"/>
      <c r="E112" s="108"/>
      <c r="F112" s="108"/>
      <c r="G112" s="108"/>
      <c r="H112" s="108"/>
      <c r="I112" s="82">
        <v>90915</v>
      </c>
      <c r="J112" s="80"/>
      <c r="K112" s="80"/>
      <c r="L112" s="80"/>
      <c r="M112" s="80"/>
      <c r="N112" s="80" t="s">
        <v>78</v>
      </c>
    </row>
    <row r="113" spans="1:14" ht="12">
      <c r="A113" s="108" t="s">
        <v>79</v>
      </c>
      <c r="B113" s="108"/>
      <c r="C113" s="108"/>
      <c r="D113" s="108"/>
      <c r="E113" s="108"/>
      <c r="F113" s="108"/>
      <c r="G113" s="108"/>
      <c r="H113" s="108"/>
      <c r="I113" s="82">
        <v>153919</v>
      </c>
      <c r="J113" s="80"/>
      <c r="K113" s="80"/>
      <c r="L113" s="80"/>
      <c r="M113" s="80"/>
      <c r="N113" s="80"/>
    </row>
    <row r="114" spans="1:14" ht="24">
      <c r="A114" s="108" t="s">
        <v>80</v>
      </c>
      <c r="B114" s="108"/>
      <c r="C114" s="108"/>
      <c r="D114" s="108"/>
      <c r="E114" s="108"/>
      <c r="F114" s="108"/>
      <c r="G114" s="108"/>
      <c r="H114" s="108"/>
      <c r="I114" s="82">
        <v>94757</v>
      </c>
      <c r="J114" s="80"/>
      <c r="K114" s="80"/>
      <c r="L114" s="80"/>
      <c r="M114" s="80"/>
      <c r="N114" s="80" t="s">
        <v>712</v>
      </c>
    </row>
    <row r="115" spans="1:14" ht="24">
      <c r="A115" s="108" t="s">
        <v>81</v>
      </c>
      <c r="B115" s="108"/>
      <c r="C115" s="108"/>
      <c r="D115" s="108"/>
      <c r="E115" s="108"/>
      <c r="F115" s="108"/>
      <c r="G115" s="108"/>
      <c r="H115" s="108"/>
      <c r="I115" s="82">
        <v>7975</v>
      </c>
      <c r="J115" s="80"/>
      <c r="K115" s="80"/>
      <c r="L115" s="80"/>
      <c r="M115" s="80"/>
      <c r="N115" s="80" t="s">
        <v>82</v>
      </c>
    </row>
    <row r="116" spans="1:14" ht="12">
      <c r="A116" s="108" t="s">
        <v>83</v>
      </c>
      <c r="B116" s="108"/>
      <c r="C116" s="108"/>
      <c r="D116" s="108"/>
      <c r="E116" s="108"/>
      <c r="F116" s="108"/>
      <c r="G116" s="108"/>
      <c r="H116" s="108"/>
      <c r="I116" s="82">
        <v>75</v>
      </c>
      <c r="J116" s="80"/>
      <c r="K116" s="80"/>
      <c r="L116" s="80"/>
      <c r="M116" s="80"/>
      <c r="N116" s="80">
        <v>0.11</v>
      </c>
    </row>
    <row r="117" spans="1:14" ht="24">
      <c r="A117" s="108" t="s">
        <v>613</v>
      </c>
      <c r="B117" s="108"/>
      <c r="C117" s="108"/>
      <c r="D117" s="108"/>
      <c r="E117" s="108"/>
      <c r="F117" s="108"/>
      <c r="G117" s="108"/>
      <c r="H117" s="108"/>
      <c r="I117" s="82">
        <v>258940</v>
      </c>
      <c r="J117" s="80"/>
      <c r="K117" s="80"/>
      <c r="L117" s="80"/>
      <c r="M117" s="80"/>
      <c r="N117" s="80" t="s">
        <v>84</v>
      </c>
    </row>
    <row r="118" spans="1:14" ht="12">
      <c r="A118" s="108" t="s">
        <v>85</v>
      </c>
      <c r="B118" s="108"/>
      <c r="C118" s="108"/>
      <c r="D118" s="108"/>
      <c r="E118" s="108"/>
      <c r="F118" s="108"/>
      <c r="G118" s="108"/>
      <c r="H118" s="108"/>
      <c r="I118" s="82">
        <v>57</v>
      </c>
      <c r="J118" s="80"/>
      <c r="K118" s="80"/>
      <c r="L118" s="80"/>
      <c r="M118" s="80"/>
      <c r="N118" s="80"/>
    </row>
    <row r="119" spans="1:14" ht="24">
      <c r="A119" s="108" t="s">
        <v>620</v>
      </c>
      <c r="B119" s="108"/>
      <c r="C119" s="108"/>
      <c r="D119" s="108"/>
      <c r="E119" s="108"/>
      <c r="F119" s="108"/>
      <c r="G119" s="108"/>
      <c r="H119" s="108"/>
      <c r="I119" s="82">
        <v>953658</v>
      </c>
      <c r="J119" s="80"/>
      <c r="K119" s="80"/>
      <c r="L119" s="80"/>
      <c r="M119" s="80"/>
      <c r="N119" s="80" t="s">
        <v>72</v>
      </c>
    </row>
    <row r="120" spans="1:14" ht="12">
      <c r="A120" s="108" t="s">
        <v>621</v>
      </c>
      <c r="B120" s="108"/>
      <c r="C120" s="108"/>
      <c r="D120" s="108"/>
      <c r="E120" s="108"/>
      <c r="F120" s="108"/>
      <c r="G120" s="108"/>
      <c r="H120" s="108"/>
      <c r="I120" s="82"/>
      <c r="J120" s="80"/>
      <c r="K120" s="80"/>
      <c r="L120" s="80"/>
      <c r="M120" s="80"/>
      <c r="N120" s="80"/>
    </row>
    <row r="121" spans="1:14" ht="12">
      <c r="A121" s="108" t="s">
        <v>86</v>
      </c>
      <c r="B121" s="108"/>
      <c r="C121" s="108"/>
      <c r="D121" s="108"/>
      <c r="E121" s="108"/>
      <c r="F121" s="108"/>
      <c r="G121" s="108"/>
      <c r="H121" s="108"/>
      <c r="I121" s="82">
        <v>527673</v>
      </c>
      <c r="J121" s="80"/>
      <c r="K121" s="80"/>
      <c r="L121" s="80"/>
      <c r="M121" s="80"/>
      <c r="N121" s="80"/>
    </row>
    <row r="122" spans="1:14" ht="12">
      <c r="A122" s="108" t="s">
        <v>622</v>
      </c>
      <c r="B122" s="108"/>
      <c r="C122" s="108"/>
      <c r="D122" s="108"/>
      <c r="E122" s="108"/>
      <c r="F122" s="108"/>
      <c r="G122" s="108"/>
      <c r="H122" s="108"/>
      <c r="I122" s="82">
        <v>39766</v>
      </c>
      <c r="J122" s="80"/>
      <c r="K122" s="80"/>
      <c r="L122" s="80"/>
      <c r="M122" s="80"/>
      <c r="N122" s="80"/>
    </row>
    <row r="123" spans="1:14" ht="12">
      <c r="A123" s="108" t="s">
        <v>623</v>
      </c>
      <c r="B123" s="108"/>
      <c r="C123" s="108"/>
      <c r="D123" s="108"/>
      <c r="E123" s="108"/>
      <c r="F123" s="108"/>
      <c r="G123" s="108"/>
      <c r="H123" s="108"/>
      <c r="I123" s="82">
        <v>168300</v>
      </c>
      <c r="J123" s="80"/>
      <c r="K123" s="80"/>
      <c r="L123" s="80"/>
      <c r="M123" s="80"/>
      <c r="N123" s="80"/>
    </row>
    <row r="124" spans="1:14" ht="12">
      <c r="A124" s="108" t="s">
        <v>624</v>
      </c>
      <c r="B124" s="108"/>
      <c r="C124" s="108"/>
      <c r="D124" s="108"/>
      <c r="E124" s="108"/>
      <c r="F124" s="108"/>
      <c r="G124" s="108"/>
      <c r="H124" s="108"/>
      <c r="I124" s="82">
        <v>143176</v>
      </c>
      <c r="J124" s="80"/>
      <c r="K124" s="80"/>
      <c r="L124" s="80"/>
      <c r="M124" s="80"/>
      <c r="N124" s="80"/>
    </row>
    <row r="125" spans="1:14" ht="12">
      <c r="A125" s="108" t="s">
        <v>625</v>
      </c>
      <c r="B125" s="108"/>
      <c r="C125" s="108"/>
      <c r="D125" s="108"/>
      <c r="E125" s="108"/>
      <c r="F125" s="108"/>
      <c r="G125" s="108"/>
      <c r="H125" s="108"/>
      <c r="I125" s="82">
        <v>77023</v>
      </c>
      <c r="J125" s="80"/>
      <c r="K125" s="80"/>
      <c r="L125" s="80"/>
      <c r="M125" s="80"/>
      <c r="N125" s="80"/>
    </row>
    <row r="126" spans="1:14" ht="24">
      <c r="A126" s="107" t="s">
        <v>87</v>
      </c>
      <c r="B126" s="107"/>
      <c r="C126" s="107"/>
      <c r="D126" s="107"/>
      <c r="E126" s="107"/>
      <c r="F126" s="107"/>
      <c r="G126" s="107"/>
      <c r="H126" s="107"/>
      <c r="I126" s="82">
        <v>953658</v>
      </c>
      <c r="J126" s="80"/>
      <c r="K126" s="80"/>
      <c r="L126" s="80"/>
      <c r="M126" s="80"/>
      <c r="N126" s="80" t="s">
        <v>72</v>
      </c>
    </row>
    <row r="127" spans="1:14" ht="17.25" customHeight="1">
      <c r="A127" s="107" t="s">
        <v>88</v>
      </c>
      <c r="B127" s="107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</row>
    <row r="128" spans="1:14" ht="120">
      <c r="A128" s="78">
        <v>66</v>
      </c>
      <c r="B128" s="79" t="s">
        <v>89</v>
      </c>
      <c r="C128" s="79" t="s">
        <v>90</v>
      </c>
      <c r="D128" s="78">
        <v>3.46</v>
      </c>
      <c r="E128" s="80" t="s">
        <v>91</v>
      </c>
      <c r="F128" s="80" t="s">
        <v>92</v>
      </c>
      <c r="G128" s="80">
        <v>823.32</v>
      </c>
      <c r="H128" s="81" t="s">
        <v>93</v>
      </c>
      <c r="I128" s="82">
        <v>18975</v>
      </c>
      <c r="J128" s="80">
        <v>3956</v>
      </c>
      <c r="K128" s="80" t="s">
        <v>94</v>
      </c>
      <c r="L128" s="80" t="str">
        <f>IF(3.46*823.32=0," ",TEXT(,ROUND((3.46*823.32*4.7),2)))</f>
        <v>13388.83</v>
      </c>
      <c r="M128" s="80" t="s">
        <v>95</v>
      </c>
      <c r="N128" s="80" t="s">
        <v>96</v>
      </c>
    </row>
    <row r="129" spans="1:14" ht="144">
      <c r="A129" s="78">
        <v>67</v>
      </c>
      <c r="B129" s="79" t="s">
        <v>97</v>
      </c>
      <c r="C129" s="79" t="s">
        <v>98</v>
      </c>
      <c r="D129" s="78">
        <v>0.2383</v>
      </c>
      <c r="E129" s="80" t="s">
        <v>99</v>
      </c>
      <c r="F129" s="80">
        <v>63.24</v>
      </c>
      <c r="G129" s="80">
        <v>1404.64</v>
      </c>
      <c r="H129" s="81" t="s">
        <v>100</v>
      </c>
      <c r="I129" s="82">
        <v>4695</v>
      </c>
      <c r="J129" s="80">
        <v>1280</v>
      </c>
      <c r="K129" s="80">
        <v>162</v>
      </c>
      <c r="L129" s="80" t="str">
        <f>IF(0.2383*1404.64=0," ",TEXT(,ROUND((0.2383*1404.64*9.72),2)))</f>
        <v>3253.53</v>
      </c>
      <c r="M129" s="80">
        <v>36.777</v>
      </c>
      <c r="N129" s="80">
        <v>8.76</v>
      </c>
    </row>
    <row r="130" spans="1:14" ht="60">
      <c r="A130" s="78">
        <v>68</v>
      </c>
      <c r="B130" s="79" t="s">
        <v>101</v>
      </c>
      <c r="C130" s="79" t="s">
        <v>102</v>
      </c>
      <c r="D130" s="78">
        <v>-0.0274</v>
      </c>
      <c r="E130" s="80">
        <v>7800</v>
      </c>
      <c r="F130" s="80"/>
      <c r="G130" s="80">
        <v>7800</v>
      </c>
      <c r="H130" s="81" t="s">
        <v>103</v>
      </c>
      <c r="I130" s="82">
        <v>-2558</v>
      </c>
      <c r="J130" s="80"/>
      <c r="K130" s="80"/>
      <c r="L130" s="80" t="str">
        <f>IF(-0.0274*7800=0," ",TEXT(,ROUND((-0.0274*7800*11.969),2)))</f>
        <v>-2558.01</v>
      </c>
      <c r="M130" s="80"/>
      <c r="N130" s="80"/>
    </row>
    <row r="131" spans="1:14" ht="60">
      <c r="A131" s="78">
        <v>69</v>
      </c>
      <c r="B131" s="79" t="s">
        <v>104</v>
      </c>
      <c r="C131" s="79" t="s">
        <v>105</v>
      </c>
      <c r="D131" s="78">
        <v>0.0274</v>
      </c>
      <c r="E131" s="80">
        <v>22020</v>
      </c>
      <c r="F131" s="80"/>
      <c r="G131" s="80">
        <v>22020</v>
      </c>
      <c r="H131" s="81" t="s">
        <v>106</v>
      </c>
      <c r="I131" s="82">
        <v>928</v>
      </c>
      <c r="J131" s="80"/>
      <c r="K131" s="80"/>
      <c r="L131" s="80" t="str">
        <f>IF(0.0274*22020=0," ",TEXT(,ROUND((0.0274*22020*1.538),2)))</f>
        <v>927.95</v>
      </c>
      <c r="M131" s="80"/>
      <c r="N131" s="80"/>
    </row>
    <row r="132" spans="1:14" ht="144">
      <c r="A132" s="78">
        <v>70</v>
      </c>
      <c r="B132" s="79" t="s">
        <v>107</v>
      </c>
      <c r="C132" s="79" t="s">
        <v>108</v>
      </c>
      <c r="D132" s="78">
        <v>0.3413</v>
      </c>
      <c r="E132" s="80" t="s">
        <v>109</v>
      </c>
      <c r="F132" s="80">
        <v>27.24</v>
      </c>
      <c r="G132" s="80">
        <v>1385.68</v>
      </c>
      <c r="H132" s="81" t="s">
        <v>110</v>
      </c>
      <c r="I132" s="82">
        <v>2120</v>
      </c>
      <c r="J132" s="80">
        <v>833</v>
      </c>
      <c r="K132" s="80">
        <v>110</v>
      </c>
      <c r="L132" s="80" t="str">
        <f>IF(0.3413*1385.68=0," ",TEXT(,ROUND((0.3413*1385.68*2.49),2)))</f>
        <v>1177.6</v>
      </c>
      <c r="M132" s="80">
        <v>16.514</v>
      </c>
      <c r="N132" s="80">
        <v>5.64</v>
      </c>
    </row>
    <row r="133" spans="1:14" ht="60">
      <c r="A133" s="78">
        <v>71</v>
      </c>
      <c r="B133" s="79" t="s">
        <v>111</v>
      </c>
      <c r="C133" s="79" t="s">
        <v>226</v>
      </c>
      <c r="D133" s="78">
        <v>-2.533</v>
      </c>
      <c r="E133" s="80">
        <v>112</v>
      </c>
      <c r="F133" s="80"/>
      <c r="G133" s="80">
        <v>112</v>
      </c>
      <c r="H133" s="81" t="s">
        <v>112</v>
      </c>
      <c r="I133" s="82">
        <v>-2076</v>
      </c>
      <c r="J133" s="80"/>
      <c r="K133" s="80"/>
      <c r="L133" s="80" t="str">
        <f>IF(-2.533*112=0," ",TEXT(,ROUND((-2.533*112*7.316),2)))</f>
        <v>-2075.52</v>
      </c>
      <c r="M133" s="80"/>
      <c r="N133" s="80"/>
    </row>
    <row r="134" spans="1:14" ht="60">
      <c r="A134" s="78">
        <v>72</v>
      </c>
      <c r="B134" s="79" t="s">
        <v>113</v>
      </c>
      <c r="C134" s="79" t="s">
        <v>227</v>
      </c>
      <c r="D134" s="78">
        <v>-39.25</v>
      </c>
      <c r="E134" s="80">
        <v>4.82</v>
      </c>
      <c r="F134" s="80"/>
      <c r="G134" s="80">
        <v>4.82</v>
      </c>
      <c r="H134" s="81" t="s">
        <v>114</v>
      </c>
      <c r="I134" s="82">
        <v>-231</v>
      </c>
      <c r="J134" s="80"/>
      <c r="K134" s="80"/>
      <c r="L134" s="80" t="str">
        <f>IF(-39.25*4.82=0," ",TEXT(,ROUND((-39.25*4.82*1.222),2)))</f>
        <v>-231.18</v>
      </c>
      <c r="M134" s="80"/>
      <c r="N134" s="80"/>
    </row>
    <row r="135" spans="1:14" ht="60">
      <c r="A135" s="78">
        <v>73</v>
      </c>
      <c r="B135" s="79" t="s">
        <v>115</v>
      </c>
      <c r="C135" s="79" t="s">
        <v>116</v>
      </c>
      <c r="D135" s="78">
        <v>3.925</v>
      </c>
      <c r="E135" s="80">
        <v>27.5</v>
      </c>
      <c r="F135" s="80"/>
      <c r="G135" s="80">
        <v>27.5</v>
      </c>
      <c r="H135" s="81" t="s">
        <v>117</v>
      </c>
      <c r="I135" s="82">
        <v>574</v>
      </c>
      <c r="J135" s="80"/>
      <c r="K135" s="80"/>
      <c r="L135" s="80" t="str">
        <f>IF(3.925*27.5=0," ",TEXT(,ROUND((3.925*27.5*5.316),2)))</f>
        <v>573.8</v>
      </c>
      <c r="M135" s="80"/>
      <c r="N135" s="80"/>
    </row>
    <row r="136" spans="1:14" ht="156">
      <c r="A136" s="78">
        <v>74</v>
      </c>
      <c r="B136" s="79" t="s">
        <v>118</v>
      </c>
      <c r="C136" s="79" t="s">
        <v>119</v>
      </c>
      <c r="D136" s="78">
        <v>0.3413</v>
      </c>
      <c r="E136" s="80" t="s">
        <v>120</v>
      </c>
      <c r="F136" s="80" t="s">
        <v>121</v>
      </c>
      <c r="G136" s="80">
        <v>105.45</v>
      </c>
      <c r="H136" s="81" t="s">
        <v>122</v>
      </c>
      <c r="I136" s="82">
        <v>966</v>
      </c>
      <c r="J136" s="80">
        <v>878</v>
      </c>
      <c r="K136" s="80" t="s">
        <v>123</v>
      </c>
      <c r="L136" s="80" t="str">
        <f>IF(0.3413*105.45=0," ",TEXT(,ROUND((0.3413*105.45*1.39),2)))</f>
        <v>50.03</v>
      </c>
      <c r="M136" s="80" t="s">
        <v>124</v>
      </c>
      <c r="N136" s="80" t="s">
        <v>125</v>
      </c>
    </row>
    <row r="137" spans="1:14" ht="48">
      <c r="A137" s="78">
        <v>75</v>
      </c>
      <c r="B137" s="79" t="s">
        <v>126</v>
      </c>
      <c r="C137" s="79" t="s">
        <v>127</v>
      </c>
      <c r="D137" s="78">
        <v>1.82</v>
      </c>
      <c r="E137" s="80">
        <v>745.84</v>
      </c>
      <c r="F137" s="80"/>
      <c r="G137" s="80">
        <v>745.84</v>
      </c>
      <c r="H137" s="81" t="s">
        <v>772</v>
      </c>
      <c r="I137" s="82">
        <v>7547</v>
      </c>
      <c r="J137" s="80"/>
      <c r="K137" s="80"/>
      <c r="L137" s="80" t="str">
        <f>IF(1.82*745.84=0," ",TEXT(,ROUND((1.82*745.84*5.56),2)))</f>
        <v>7547.3</v>
      </c>
      <c r="M137" s="80"/>
      <c r="N137" s="80"/>
    </row>
    <row r="138" spans="1:14" ht="120">
      <c r="A138" s="78">
        <v>76</v>
      </c>
      <c r="B138" s="79" t="s">
        <v>642</v>
      </c>
      <c r="C138" s="79" t="s">
        <v>128</v>
      </c>
      <c r="D138" s="78">
        <v>0.222</v>
      </c>
      <c r="E138" s="80" t="s">
        <v>644</v>
      </c>
      <c r="F138" s="80">
        <v>41.89</v>
      </c>
      <c r="G138" s="80">
        <v>2189</v>
      </c>
      <c r="H138" s="81" t="s">
        <v>645</v>
      </c>
      <c r="I138" s="82">
        <v>2558</v>
      </c>
      <c r="J138" s="80">
        <v>814</v>
      </c>
      <c r="K138" s="80">
        <v>107</v>
      </c>
      <c r="L138" s="80" t="str">
        <f>IF(0.222*2189=0," ",TEXT(,ROUND((0.222*2189*3.37),2)))</f>
        <v>1637.68</v>
      </c>
      <c r="M138" s="80">
        <v>25.875</v>
      </c>
      <c r="N138" s="80">
        <v>5.74</v>
      </c>
    </row>
    <row r="139" spans="1:14" ht="144">
      <c r="A139" s="78">
        <v>77</v>
      </c>
      <c r="B139" s="79" t="s">
        <v>129</v>
      </c>
      <c r="C139" s="79" t="s">
        <v>130</v>
      </c>
      <c r="D139" s="78">
        <v>0.22</v>
      </c>
      <c r="E139" s="80" t="s">
        <v>131</v>
      </c>
      <c r="F139" s="80">
        <v>723.05</v>
      </c>
      <c r="G139" s="80">
        <v>8515.41</v>
      </c>
      <c r="H139" s="81" t="s">
        <v>132</v>
      </c>
      <c r="I139" s="82">
        <v>13771</v>
      </c>
      <c r="J139" s="80">
        <v>5412</v>
      </c>
      <c r="K139" s="80">
        <v>1296</v>
      </c>
      <c r="L139" s="80" t="str">
        <f>IF(0.22*8515.41=0," ",TEXT(,ROUND((0.22*8515.41*3.77),2)))</f>
        <v>7062.68</v>
      </c>
      <c r="M139" s="80">
        <v>160.4825</v>
      </c>
      <c r="N139" s="80">
        <v>35.31</v>
      </c>
    </row>
    <row r="140" spans="1:14" ht="60">
      <c r="A140" s="78">
        <v>78</v>
      </c>
      <c r="B140" s="79" t="s">
        <v>133</v>
      </c>
      <c r="C140" s="79" t="s">
        <v>134</v>
      </c>
      <c r="D140" s="78">
        <v>-0.1692</v>
      </c>
      <c r="E140" s="80">
        <v>11000</v>
      </c>
      <c r="F140" s="80"/>
      <c r="G140" s="80">
        <v>11000</v>
      </c>
      <c r="H140" s="81" t="s">
        <v>135</v>
      </c>
      <c r="I140" s="82">
        <v>-7028</v>
      </c>
      <c r="J140" s="80"/>
      <c r="K140" s="80"/>
      <c r="L140" s="80" t="str">
        <f>IF(-0.1692*11000=0," ",TEXT(,ROUND((-0.1692*11000*3.776),2)))</f>
        <v>-7027.89</v>
      </c>
      <c r="M140" s="80"/>
      <c r="N140" s="80"/>
    </row>
    <row r="141" spans="1:14" ht="72">
      <c r="A141" s="78">
        <v>79</v>
      </c>
      <c r="B141" s="79" t="s">
        <v>701</v>
      </c>
      <c r="C141" s="79" t="s">
        <v>702</v>
      </c>
      <c r="D141" s="78" t="s">
        <v>136</v>
      </c>
      <c r="E141" s="80">
        <v>8715.1</v>
      </c>
      <c r="F141" s="80"/>
      <c r="G141" s="80">
        <v>8715.1</v>
      </c>
      <c r="H141" s="81" t="s">
        <v>704</v>
      </c>
      <c r="I141" s="82">
        <v>5478</v>
      </c>
      <c r="J141" s="80"/>
      <c r="K141" s="80"/>
      <c r="L141" s="80" t="str">
        <f>IF(0.088704*8715.1=0," ",TEXT(,ROUND((0.088704*8715.1*7.086),2)))</f>
        <v>5477.93</v>
      </c>
      <c r="M141" s="80"/>
      <c r="N141" s="80"/>
    </row>
    <row r="142" spans="1:14" ht="156">
      <c r="A142" s="78">
        <v>80</v>
      </c>
      <c r="B142" s="79" t="s">
        <v>137</v>
      </c>
      <c r="C142" s="79" t="s">
        <v>138</v>
      </c>
      <c r="D142" s="78">
        <v>0.3413</v>
      </c>
      <c r="E142" s="80" t="s">
        <v>139</v>
      </c>
      <c r="F142" s="80" t="s">
        <v>140</v>
      </c>
      <c r="G142" s="80">
        <v>865.27</v>
      </c>
      <c r="H142" s="81" t="s">
        <v>141</v>
      </c>
      <c r="I142" s="82">
        <v>6884</v>
      </c>
      <c r="J142" s="80">
        <v>4536</v>
      </c>
      <c r="K142" s="80" t="s">
        <v>142</v>
      </c>
      <c r="L142" s="80" t="str">
        <f>IF(0.3413*865.27=0," ",TEXT(,ROUND((0.3413*865.27*6.43),2)))</f>
        <v>1898.89</v>
      </c>
      <c r="M142" s="80" t="s">
        <v>143</v>
      </c>
      <c r="N142" s="80" t="s">
        <v>144</v>
      </c>
    </row>
    <row r="143" spans="1:14" ht="24">
      <c r="A143" s="108" t="s">
        <v>606</v>
      </c>
      <c r="B143" s="108"/>
      <c r="C143" s="108"/>
      <c r="D143" s="108"/>
      <c r="E143" s="108"/>
      <c r="F143" s="108"/>
      <c r="G143" s="108"/>
      <c r="H143" s="108"/>
      <c r="I143" s="82">
        <v>52603</v>
      </c>
      <c r="J143" s="80">
        <v>17709</v>
      </c>
      <c r="K143" s="80" t="s">
        <v>145</v>
      </c>
      <c r="L143" s="80">
        <v>31102</v>
      </c>
      <c r="M143" s="80"/>
      <c r="N143" s="80" t="s">
        <v>146</v>
      </c>
    </row>
    <row r="144" spans="1:14" ht="12">
      <c r="A144" s="108" t="s">
        <v>609</v>
      </c>
      <c r="B144" s="108"/>
      <c r="C144" s="108"/>
      <c r="D144" s="108"/>
      <c r="E144" s="108"/>
      <c r="F144" s="108"/>
      <c r="G144" s="108"/>
      <c r="H144" s="108"/>
      <c r="I144" s="82">
        <v>15173</v>
      </c>
      <c r="J144" s="80"/>
      <c r="K144" s="80"/>
      <c r="L144" s="80"/>
      <c r="M144" s="80"/>
      <c r="N144" s="80"/>
    </row>
    <row r="145" spans="1:14" ht="12">
      <c r="A145" s="108" t="s">
        <v>610</v>
      </c>
      <c r="B145" s="108"/>
      <c r="C145" s="108"/>
      <c r="D145" s="108"/>
      <c r="E145" s="108"/>
      <c r="F145" s="108"/>
      <c r="G145" s="108"/>
      <c r="H145" s="108"/>
      <c r="I145" s="82">
        <v>8543</v>
      </c>
      <c r="J145" s="80"/>
      <c r="K145" s="80"/>
      <c r="L145" s="80"/>
      <c r="M145" s="80"/>
      <c r="N145" s="80"/>
    </row>
    <row r="146" spans="1:14" ht="12">
      <c r="A146" s="107" t="s">
        <v>147</v>
      </c>
      <c r="B146" s="107"/>
      <c r="C146" s="107"/>
      <c r="D146" s="107"/>
      <c r="E146" s="107"/>
      <c r="F146" s="107"/>
      <c r="G146" s="107"/>
      <c r="H146" s="107"/>
      <c r="I146" s="82"/>
      <c r="J146" s="80"/>
      <c r="K146" s="80"/>
      <c r="L146" s="80"/>
      <c r="M146" s="80"/>
      <c r="N146" s="80"/>
    </row>
    <row r="147" spans="1:14" ht="24">
      <c r="A147" s="108" t="s">
        <v>75</v>
      </c>
      <c r="B147" s="108"/>
      <c r="C147" s="108"/>
      <c r="D147" s="108"/>
      <c r="E147" s="108"/>
      <c r="F147" s="108"/>
      <c r="G147" s="108"/>
      <c r="H147" s="108"/>
      <c r="I147" s="82">
        <v>25312</v>
      </c>
      <c r="J147" s="80"/>
      <c r="K147" s="80"/>
      <c r="L147" s="80"/>
      <c r="M147" s="80"/>
      <c r="N147" s="80" t="s">
        <v>96</v>
      </c>
    </row>
    <row r="148" spans="1:14" ht="24">
      <c r="A148" s="108" t="s">
        <v>80</v>
      </c>
      <c r="B148" s="108"/>
      <c r="C148" s="108"/>
      <c r="D148" s="108"/>
      <c r="E148" s="108"/>
      <c r="F148" s="108"/>
      <c r="G148" s="108"/>
      <c r="H148" s="108"/>
      <c r="I148" s="82">
        <v>29753</v>
      </c>
      <c r="J148" s="80"/>
      <c r="K148" s="80"/>
      <c r="L148" s="80"/>
      <c r="M148" s="80"/>
      <c r="N148" s="80" t="s">
        <v>148</v>
      </c>
    </row>
    <row r="149" spans="1:14" ht="12">
      <c r="A149" s="108" t="s">
        <v>79</v>
      </c>
      <c r="B149" s="108"/>
      <c r="C149" s="108"/>
      <c r="D149" s="108"/>
      <c r="E149" s="108"/>
      <c r="F149" s="108"/>
      <c r="G149" s="108"/>
      <c r="H149" s="108"/>
      <c r="I149" s="82">
        <v>4941</v>
      </c>
      <c r="J149" s="80"/>
      <c r="K149" s="80"/>
      <c r="L149" s="80"/>
      <c r="M149" s="80"/>
      <c r="N149" s="80"/>
    </row>
    <row r="150" spans="1:14" ht="12">
      <c r="A150" s="108" t="s">
        <v>76</v>
      </c>
      <c r="B150" s="108"/>
      <c r="C150" s="108"/>
      <c r="D150" s="108"/>
      <c r="E150" s="108"/>
      <c r="F150" s="108"/>
      <c r="G150" s="108"/>
      <c r="H150" s="108"/>
      <c r="I150" s="82">
        <v>3641</v>
      </c>
      <c r="J150" s="80"/>
      <c r="K150" s="80"/>
      <c r="L150" s="80"/>
      <c r="M150" s="80"/>
      <c r="N150" s="80">
        <v>5.74</v>
      </c>
    </row>
    <row r="151" spans="1:14" ht="24">
      <c r="A151" s="108" t="s">
        <v>149</v>
      </c>
      <c r="B151" s="108"/>
      <c r="C151" s="108"/>
      <c r="D151" s="108"/>
      <c r="E151" s="108"/>
      <c r="F151" s="108"/>
      <c r="G151" s="108"/>
      <c r="H151" s="108"/>
      <c r="I151" s="82">
        <v>12672</v>
      </c>
      <c r="J151" s="80"/>
      <c r="K151" s="80"/>
      <c r="L151" s="80"/>
      <c r="M151" s="80"/>
      <c r="N151" s="80" t="s">
        <v>144</v>
      </c>
    </row>
    <row r="152" spans="1:14" ht="24">
      <c r="A152" s="108" t="s">
        <v>620</v>
      </c>
      <c r="B152" s="108"/>
      <c r="C152" s="108"/>
      <c r="D152" s="108"/>
      <c r="E152" s="108"/>
      <c r="F152" s="108"/>
      <c r="G152" s="108"/>
      <c r="H152" s="108"/>
      <c r="I152" s="82">
        <v>76319</v>
      </c>
      <c r="J152" s="80"/>
      <c r="K152" s="80"/>
      <c r="L152" s="80"/>
      <c r="M152" s="80"/>
      <c r="N152" s="80" t="s">
        <v>146</v>
      </c>
    </row>
    <row r="153" spans="1:14" ht="12">
      <c r="A153" s="108" t="s">
        <v>621</v>
      </c>
      <c r="B153" s="108"/>
      <c r="C153" s="108"/>
      <c r="D153" s="108"/>
      <c r="E153" s="108"/>
      <c r="F153" s="108"/>
      <c r="G153" s="108"/>
      <c r="H153" s="108"/>
      <c r="I153" s="82"/>
      <c r="J153" s="80"/>
      <c r="K153" s="80"/>
      <c r="L153" s="80"/>
      <c r="M153" s="80"/>
      <c r="N153" s="80"/>
    </row>
    <row r="154" spans="1:14" ht="12">
      <c r="A154" s="108" t="s">
        <v>86</v>
      </c>
      <c r="B154" s="108"/>
      <c r="C154" s="108"/>
      <c r="D154" s="108"/>
      <c r="E154" s="108"/>
      <c r="F154" s="108"/>
      <c r="G154" s="108"/>
      <c r="H154" s="108"/>
      <c r="I154" s="82">
        <v>31102</v>
      </c>
      <c r="J154" s="80"/>
      <c r="K154" s="80"/>
      <c r="L154" s="80"/>
      <c r="M154" s="80"/>
      <c r="N154" s="80"/>
    </row>
    <row r="155" spans="1:14" ht="12">
      <c r="A155" s="108" t="s">
        <v>622</v>
      </c>
      <c r="B155" s="108"/>
      <c r="C155" s="108"/>
      <c r="D155" s="108"/>
      <c r="E155" s="108"/>
      <c r="F155" s="108"/>
      <c r="G155" s="108"/>
      <c r="H155" s="108"/>
      <c r="I155" s="82">
        <v>3792</v>
      </c>
      <c r="J155" s="80"/>
      <c r="K155" s="80"/>
      <c r="L155" s="80"/>
      <c r="M155" s="80"/>
      <c r="N155" s="80"/>
    </row>
    <row r="156" spans="1:14" ht="12">
      <c r="A156" s="108" t="s">
        <v>623</v>
      </c>
      <c r="B156" s="108"/>
      <c r="C156" s="108"/>
      <c r="D156" s="108"/>
      <c r="E156" s="108"/>
      <c r="F156" s="108"/>
      <c r="G156" s="108"/>
      <c r="H156" s="108"/>
      <c r="I156" s="82">
        <v>18478</v>
      </c>
      <c r="J156" s="80"/>
      <c r="K156" s="80"/>
      <c r="L156" s="80"/>
      <c r="M156" s="80"/>
      <c r="N156" s="80"/>
    </row>
    <row r="157" spans="1:14" ht="12">
      <c r="A157" s="108" t="s">
        <v>624</v>
      </c>
      <c r="B157" s="108"/>
      <c r="C157" s="108"/>
      <c r="D157" s="108"/>
      <c r="E157" s="108"/>
      <c r="F157" s="108"/>
      <c r="G157" s="108"/>
      <c r="H157" s="108"/>
      <c r="I157" s="82">
        <v>15173</v>
      </c>
      <c r="J157" s="80"/>
      <c r="K157" s="80"/>
      <c r="L157" s="80"/>
      <c r="M157" s="80"/>
      <c r="N157" s="80"/>
    </row>
    <row r="158" spans="1:14" ht="12">
      <c r="A158" s="108" t="s">
        <v>625</v>
      </c>
      <c r="B158" s="108"/>
      <c r="C158" s="108"/>
      <c r="D158" s="108"/>
      <c r="E158" s="108"/>
      <c r="F158" s="108"/>
      <c r="G158" s="108"/>
      <c r="H158" s="108"/>
      <c r="I158" s="82">
        <v>8543</v>
      </c>
      <c r="J158" s="80"/>
      <c r="K158" s="80"/>
      <c r="L158" s="80"/>
      <c r="M158" s="80"/>
      <c r="N158" s="80"/>
    </row>
    <row r="159" spans="1:14" ht="24">
      <c r="A159" s="107" t="s">
        <v>150</v>
      </c>
      <c r="B159" s="107"/>
      <c r="C159" s="107"/>
      <c r="D159" s="107"/>
      <c r="E159" s="107"/>
      <c r="F159" s="107"/>
      <c r="G159" s="107"/>
      <c r="H159" s="107"/>
      <c r="I159" s="82">
        <v>76319</v>
      </c>
      <c r="J159" s="80"/>
      <c r="K159" s="80"/>
      <c r="L159" s="80"/>
      <c r="M159" s="80"/>
      <c r="N159" s="80" t="s">
        <v>146</v>
      </c>
    </row>
    <row r="160" spans="1:14" ht="17.25" customHeight="1">
      <c r="A160" s="107" t="s">
        <v>151</v>
      </c>
      <c r="B160" s="107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</row>
    <row r="161" spans="1:14" ht="144">
      <c r="A161" s="78">
        <v>81</v>
      </c>
      <c r="B161" s="79" t="s">
        <v>152</v>
      </c>
      <c r="C161" s="79" t="s">
        <v>153</v>
      </c>
      <c r="D161" s="78">
        <v>0.0885</v>
      </c>
      <c r="E161" s="80" t="s">
        <v>154</v>
      </c>
      <c r="F161" s="80" t="s">
        <v>155</v>
      </c>
      <c r="G161" s="80">
        <v>7166.84</v>
      </c>
      <c r="H161" s="81" t="s">
        <v>156</v>
      </c>
      <c r="I161" s="82">
        <v>3051</v>
      </c>
      <c r="J161" s="80">
        <v>1051</v>
      </c>
      <c r="K161" s="80" t="s">
        <v>157</v>
      </c>
      <c r="L161" s="80" t="str">
        <f>IF(0.0885*7166.84=0," ",TEXT(,ROUND((0.0885*7166.84*3.14),2)))</f>
        <v>1991.59</v>
      </c>
      <c r="M161" s="80" t="s">
        <v>158</v>
      </c>
      <c r="N161" s="80" t="s">
        <v>159</v>
      </c>
    </row>
    <row r="162" spans="1:14" ht="144">
      <c r="A162" s="78">
        <v>82</v>
      </c>
      <c r="B162" s="79" t="s">
        <v>160</v>
      </c>
      <c r="C162" s="79" t="s">
        <v>161</v>
      </c>
      <c r="D162" s="78">
        <v>0.0172</v>
      </c>
      <c r="E162" s="80" t="s">
        <v>162</v>
      </c>
      <c r="F162" s="80" t="s">
        <v>163</v>
      </c>
      <c r="G162" s="80">
        <v>3983.49</v>
      </c>
      <c r="H162" s="81" t="s">
        <v>164</v>
      </c>
      <c r="I162" s="82">
        <v>428</v>
      </c>
      <c r="J162" s="80">
        <v>213</v>
      </c>
      <c r="K162" s="80">
        <v>1</v>
      </c>
      <c r="L162" s="80" t="str">
        <f>IF(0.0172*3983.49=0," ",TEXT(,ROUND((0.0172*3983.49*3.13),2)))</f>
        <v>214.46</v>
      </c>
      <c r="M162" s="80" t="s">
        <v>165</v>
      </c>
      <c r="N162" s="80">
        <v>1.27</v>
      </c>
    </row>
    <row r="163" spans="1:14" ht="60">
      <c r="A163" s="78">
        <v>83</v>
      </c>
      <c r="B163" s="79" t="s">
        <v>166</v>
      </c>
      <c r="C163" s="79" t="s">
        <v>167</v>
      </c>
      <c r="D163" s="78">
        <v>1</v>
      </c>
      <c r="E163" s="80">
        <v>14.57</v>
      </c>
      <c r="F163" s="80"/>
      <c r="G163" s="80">
        <v>14.57</v>
      </c>
      <c r="H163" s="81" t="s">
        <v>168</v>
      </c>
      <c r="I163" s="82">
        <v>63</v>
      </c>
      <c r="J163" s="80"/>
      <c r="K163" s="80"/>
      <c r="L163" s="80" t="str">
        <f>IF(1*14.57=0," ",TEXT(,ROUND((1*14.57*4.341),2)))</f>
        <v>63.25</v>
      </c>
      <c r="M163" s="80"/>
      <c r="N163" s="80"/>
    </row>
    <row r="164" spans="1:14" ht="60">
      <c r="A164" s="78">
        <v>84</v>
      </c>
      <c r="B164" s="79" t="s">
        <v>169</v>
      </c>
      <c r="C164" s="79" t="s">
        <v>170</v>
      </c>
      <c r="D164" s="78">
        <v>4</v>
      </c>
      <c r="E164" s="80">
        <v>29.26</v>
      </c>
      <c r="F164" s="80"/>
      <c r="G164" s="80">
        <v>29.26</v>
      </c>
      <c r="H164" s="81" t="s">
        <v>171</v>
      </c>
      <c r="I164" s="82">
        <v>612</v>
      </c>
      <c r="J164" s="80"/>
      <c r="K164" s="80"/>
      <c r="L164" s="80" t="str">
        <f>IF(4*29.26=0," ",TEXT(,ROUND((4*29.26*5.23),2)))</f>
        <v>612.12</v>
      </c>
      <c r="M164" s="80"/>
      <c r="N164" s="80"/>
    </row>
    <row r="165" spans="1:14" ht="144">
      <c r="A165" s="78">
        <v>85</v>
      </c>
      <c r="B165" s="79" t="s">
        <v>97</v>
      </c>
      <c r="C165" s="79" t="s">
        <v>98</v>
      </c>
      <c r="D165" s="78" t="s">
        <v>172</v>
      </c>
      <c r="E165" s="80" t="s">
        <v>99</v>
      </c>
      <c r="F165" s="80">
        <v>63.24</v>
      </c>
      <c r="G165" s="80">
        <v>1404.64</v>
      </c>
      <c r="H165" s="81" t="s">
        <v>100</v>
      </c>
      <c r="I165" s="82">
        <v>2291</v>
      </c>
      <c r="J165" s="80">
        <v>625</v>
      </c>
      <c r="K165" s="80">
        <v>79</v>
      </c>
      <c r="L165" s="80" t="str">
        <f>IF(0.1163*1404.64=0," ",TEXT(,ROUND((0.1163*1404.64*9.72),2)))</f>
        <v>1587.86</v>
      </c>
      <c r="M165" s="80">
        <v>36.777</v>
      </c>
      <c r="N165" s="80">
        <v>4.28</v>
      </c>
    </row>
    <row r="166" spans="1:14" ht="60">
      <c r="A166" s="78">
        <v>86</v>
      </c>
      <c r="B166" s="79" t="s">
        <v>101</v>
      </c>
      <c r="C166" s="79" t="s">
        <v>102</v>
      </c>
      <c r="D166" s="78">
        <v>-0.0134</v>
      </c>
      <c r="E166" s="80">
        <v>7800</v>
      </c>
      <c r="F166" s="80"/>
      <c r="G166" s="80">
        <v>7800</v>
      </c>
      <c r="H166" s="81" t="s">
        <v>103</v>
      </c>
      <c r="I166" s="82">
        <v>-1251</v>
      </c>
      <c r="J166" s="80"/>
      <c r="K166" s="80"/>
      <c r="L166" s="80" t="str">
        <f>IF(-0.0134*7800=0," ",TEXT(,ROUND((-0.0134*7800*11.969),2)))</f>
        <v>-1251</v>
      </c>
      <c r="M166" s="80"/>
      <c r="N166" s="80"/>
    </row>
    <row r="167" spans="1:14" ht="60">
      <c r="A167" s="78">
        <v>87</v>
      </c>
      <c r="B167" s="79" t="s">
        <v>115</v>
      </c>
      <c r="C167" s="79" t="s">
        <v>116</v>
      </c>
      <c r="D167" s="78">
        <v>5</v>
      </c>
      <c r="E167" s="80">
        <v>27.5</v>
      </c>
      <c r="F167" s="80"/>
      <c r="G167" s="80">
        <v>27.5</v>
      </c>
      <c r="H167" s="81" t="s">
        <v>117</v>
      </c>
      <c r="I167" s="82">
        <v>731</v>
      </c>
      <c r="J167" s="80"/>
      <c r="K167" s="80"/>
      <c r="L167" s="80" t="str">
        <f>IF(5*27.5=0," ",TEXT(,ROUND((5*27.5*5.316),2)))</f>
        <v>730.95</v>
      </c>
      <c r="M167" s="80"/>
      <c r="N167" s="80"/>
    </row>
    <row r="168" spans="1:14" ht="60">
      <c r="A168" s="78">
        <v>88</v>
      </c>
      <c r="B168" s="79" t="s">
        <v>104</v>
      </c>
      <c r="C168" s="79" t="s">
        <v>105</v>
      </c>
      <c r="D168" s="78" t="s">
        <v>173</v>
      </c>
      <c r="E168" s="80">
        <v>22020</v>
      </c>
      <c r="F168" s="80"/>
      <c r="G168" s="80">
        <v>22020</v>
      </c>
      <c r="H168" s="81" t="s">
        <v>106</v>
      </c>
      <c r="I168" s="82">
        <v>284</v>
      </c>
      <c r="J168" s="80"/>
      <c r="K168" s="80"/>
      <c r="L168" s="80" t="str">
        <f>IF(0.008372*22020=0," ",TEXT(,ROUND((0.008372*22020*1.538),2)))</f>
        <v>283.53</v>
      </c>
      <c r="M168" s="80"/>
      <c r="N168" s="80"/>
    </row>
    <row r="169" spans="1:14" ht="156">
      <c r="A169" s="78">
        <v>89</v>
      </c>
      <c r="B169" s="79" t="s">
        <v>174</v>
      </c>
      <c r="C169" s="79" t="s">
        <v>175</v>
      </c>
      <c r="D169" s="78">
        <v>0.85</v>
      </c>
      <c r="E169" s="80" t="s">
        <v>176</v>
      </c>
      <c r="F169" s="80">
        <v>71.44</v>
      </c>
      <c r="G169" s="80">
        <v>1320.96</v>
      </c>
      <c r="H169" s="81" t="s">
        <v>177</v>
      </c>
      <c r="I169" s="82">
        <v>7602</v>
      </c>
      <c r="J169" s="80">
        <v>3039</v>
      </c>
      <c r="K169" s="80">
        <v>712</v>
      </c>
      <c r="L169" s="80" t="str">
        <f>IF(0.85*1320.96=0," ",TEXT(,ROUND((0.85*1320.96*3.43),2)))</f>
        <v>3851.26</v>
      </c>
      <c r="M169" s="80">
        <v>21.6775</v>
      </c>
      <c r="N169" s="80">
        <v>18.43</v>
      </c>
    </row>
    <row r="170" spans="1:14" ht="60">
      <c r="A170" s="78">
        <v>90</v>
      </c>
      <c r="B170" s="79" t="s">
        <v>178</v>
      </c>
      <c r="C170" s="79" t="s">
        <v>179</v>
      </c>
      <c r="D170" s="78">
        <v>-1.309</v>
      </c>
      <c r="E170" s="80">
        <v>542.4</v>
      </c>
      <c r="F170" s="80"/>
      <c r="G170" s="80">
        <v>542.4</v>
      </c>
      <c r="H170" s="81" t="s">
        <v>180</v>
      </c>
      <c r="I170" s="82">
        <v>-2373</v>
      </c>
      <c r="J170" s="80"/>
      <c r="K170" s="80"/>
      <c r="L170" s="80" t="str">
        <f>IF(-1.309*542.4=0," ",TEXT(,ROUND((-1.309*542.4*3.342),2)))</f>
        <v>-2372.83</v>
      </c>
      <c r="M170" s="80"/>
      <c r="N170" s="80"/>
    </row>
    <row r="171" spans="1:14" ht="60">
      <c r="A171" s="78">
        <v>91</v>
      </c>
      <c r="B171" s="79" t="s">
        <v>181</v>
      </c>
      <c r="C171" s="79" t="s">
        <v>182</v>
      </c>
      <c r="D171" s="78">
        <v>1.309</v>
      </c>
      <c r="E171" s="80">
        <v>520.94</v>
      </c>
      <c r="F171" s="80"/>
      <c r="G171" s="80">
        <v>520.94</v>
      </c>
      <c r="H171" s="81" t="s">
        <v>183</v>
      </c>
      <c r="I171" s="82">
        <v>2471</v>
      </c>
      <c r="J171" s="80"/>
      <c r="K171" s="80"/>
      <c r="L171" s="80" t="str">
        <f>IF(1.309*520.94=0," ",TEXT(,ROUND((1.309*520.94*3.623),2)))</f>
        <v>2470.56</v>
      </c>
      <c r="M171" s="80"/>
      <c r="N171" s="80"/>
    </row>
    <row r="172" spans="1:14" ht="144">
      <c r="A172" s="78">
        <v>92</v>
      </c>
      <c r="B172" s="79" t="s">
        <v>129</v>
      </c>
      <c r="C172" s="79" t="s">
        <v>130</v>
      </c>
      <c r="D172" s="78">
        <v>0.0441</v>
      </c>
      <c r="E172" s="80" t="s">
        <v>131</v>
      </c>
      <c r="F172" s="80">
        <v>723.05</v>
      </c>
      <c r="G172" s="80">
        <v>8515.41</v>
      </c>
      <c r="H172" s="81" t="s">
        <v>132</v>
      </c>
      <c r="I172" s="82">
        <v>2760</v>
      </c>
      <c r="J172" s="80">
        <v>1085</v>
      </c>
      <c r="K172" s="80">
        <v>260</v>
      </c>
      <c r="L172" s="80" t="str">
        <f>IF(0.0441*8515.41=0," ",TEXT(,ROUND((0.0441*8515.41*3.77),2)))</f>
        <v>1415.75</v>
      </c>
      <c r="M172" s="80">
        <v>160.4825</v>
      </c>
      <c r="N172" s="80">
        <v>7.08</v>
      </c>
    </row>
    <row r="173" spans="1:14" ht="60">
      <c r="A173" s="78">
        <v>93</v>
      </c>
      <c r="B173" s="79" t="s">
        <v>133</v>
      </c>
      <c r="C173" s="79" t="s">
        <v>134</v>
      </c>
      <c r="D173" s="78">
        <v>-0.0339</v>
      </c>
      <c r="E173" s="80">
        <v>11000</v>
      </c>
      <c r="F173" s="80"/>
      <c r="G173" s="80">
        <v>11000</v>
      </c>
      <c r="H173" s="81" t="s">
        <v>135</v>
      </c>
      <c r="I173" s="82">
        <v>-1408</v>
      </c>
      <c r="J173" s="80"/>
      <c r="K173" s="80"/>
      <c r="L173" s="80" t="str">
        <f>IF(-0.0339*11000=0," ",TEXT(,ROUND((-0.0339*11000*3.776),2)))</f>
        <v>-1408.07</v>
      </c>
      <c r="M173" s="80"/>
      <c r="N173" s="80"/>
    </row>
    <row r="174" spans="1:14" ht="72">
      <c r="A174" s="78">
        <v>94</v>
      </c>
      <c r="B174" s="79" t="s">
        <v>701</v>
      </c>
      <c r="C174" s="79" t="s">
        <v>702</v>
      </c>
      <c r="D174" s="78" t="s">
        <v>184</v>
      </c>
      <c r="E174" s="80">
        <v>8715.1</v>
      </c>
      <c r="F174" s="80"/>
      <c r="G174" s="80">
        <v>8715.1</v>
      </c>
      <c r="H174" s="81" t="s">
        <v>704</v>
      </c>
      <c r="I174" s="82">
        <v>1098</v>
      </c>
      <c r="J174" s="80"/>
      <c r="K174" s="80"/>
      <c r="L174" s="80" t="str">
        <f>IF(0.017781*8715.1=0," ",TEXT(,ROUND((0.017781*8715.1*7.086),2)))</f>
        <v>1098.07</v>
      </c>
      <c r="M174" s="80"/>
      <c r="N174" s="80"/>
    </row>
    <row r="175" spans="1:14" ht="24">
      <c r="A175" s="108" t="s">
        <v>606</v>
      </c>
      <c r="B175" s="108"/>
      <c r="C175" s="108"/>
      <c r="D175" s="108"/>
      <c r="E175" s="108"/>
      <c r="F175" s="108"/>
      <c r="G175" s="108"/>
      <c r="H175" s="108"/>
      <c r="I175" s="82">
        <v>16359</v>
      </c>
      <c r="J175" s="80">
        <v>6013</v>
      </c>
      <c r="K175" s="80" t="s">
        <v>185</v>
      </c>
      <c r="L175" s="80">
        <v>9286</v>
      </c>
      <c r="M175" s="80"/>
      <c r="N175" s="80" t="s">
        <v>186</v>
      </c>
    </row>
    <row r="176" spans="1:14" ht="12">
      <c r="A176" s="108" t="s">
        <v>609</v>
      </c>
      <c r="B176" s="108"/>
      <c r="C176" s="108"/>
      <c r="D176" s="108"/>
      <c r="E176" s="108"/>
      <c r="F176" s="108"/>
      <c r="G176" s="108"/>
      <c r="H176" s="108"/>
      <c r="I176" s="82">
        <v>4897</v>
      </c>
      <c r="J176" s="80"/>
      <c r="K176" s="80"/>
      <c r="L176" s="80"/>
      <c r="M176" s="80"/>
      <c r="N176" s="80"/>
    </row>
    <row r="177" spans="1:14" ht="12">
      <c r="A177" s="108" t="s">
        <v>610</v>
      </c>
      <c r="B177" s="108"/>
      <c r="C177" s="108"/>
      <c r="D177" s="108"/>
      <c r="E177" s="108"/>
      <c r="F177" s="108"/>
      <c r="G177" s="108"/>
      <c r="H177" s="108"/>
      <c r="I177" s="82">
        <v>2988</v>
      </c>
      <c r="J177" s="80"/>
      <c r="K177" s="80"/>
      <c r="L177" s="80"/>
      <c r="M177" s="80"/>
      <c r="N177" s="80"/>
    </row>
    <row r="178" spans="1:14" ht="12">
      <c r="A178" s="107" t="s">
        <v>187</v>
      </c>
      <c r="B178" s="107"/>
      <c r="C178" s="107"/>
      <c r="D178" s="107"/>
      <c r="E178" s="107"/>
      <c r="F178" s="107"/>
      <c r="G178" s="107"/>
      <c r="H178" s="107"/>
      <c r="I178" s="82"/>
      <c r="J178" s="80"/>
      <c r="K178" s="80"/>
      <c r="L178" s="80"/>
      <c r="M178" s="80"/>
      <c r="N178" s="80"/>
    </row>
    <row r="179" spans="1:14" ht="24" customHeight="1">
      <c r="A179" s="108" t="s">
        <v>188</v>
      </c>
      <c r="B179" s="108"/>
      <c r="C179" s="108"/>
      <c r="D179" s="108"/>
      <c r="E179" s="108"/>
      <c r="F179" s="108"/>
      <c r="G179" s="108"/>
      <c r="H179" s="108"/>
      <c r="I179" s="82">
        <v>5427</v>
      </c>
      <c r="J179" s="80"/>
      <c r="K179" s="80"/>
      <c r="L179" s="80"/>
      <c r="M179" s="80"/>
      <c r="N179" s="80" t="s">
        <v>189</v>
      </c>
    </row>
    <row r="180" spans="1:14" ht="12">
      <c r="A180" s="108" t="s">
        <v>79</v>
      </c>
      <c r="B180" s="108"/>
      <c r="C180" s="108"/>
      <c r="D180" s="108"/>
      <c r="E180" s="108"/>
      <c r="F180" s="108"/>
      <c r="G180" s="108"/>
      <c r="H180" s="108"/>
      <c r="I180" s="82">
        <v>227</v>
      </c>
      <c r="J180" s="80"/>
      <c r="K180" s="80"/>
      <c r="L180" s="80"/>
      <c r="M180" s="80"/>
      <c r="N180" s="80"/>
    </row>
    <row r="181" spans="1:14" ht="12">
      <c r="A181" s="108" t="s">
        <v>80</v>
      </c>
      <c r="B181" s="108"/>
      <c r="C181" s="108"/>
      <c r="D181" s="108"/>
      <c r="E181" s="108"/>
      <c r="F181" s="108"/>
      <c r="G181" s="108"/>
      <c r="H181" s="108"/>
      <c r="I181" s="82">
        <v>18590</v>
      </c>
      <c r="J181" s="80"/>
      <c r="K181" s="80"/>
      <c r="L181" s="80"/>
      <c r="M181" s="80"/>
      <c r="N181" s="80">
        <v>29.79</v>
      </c>
    </row>
    <row r="182" spans="1:14" ht="24">
      <c r="A182" s="108" t="s">
        <v>620</v>
      </c>
      <c r="B182" s="108"/>
      <c r="C182" s="108"/>
      <c r="D182" s="108"/>
      <c r="E182" s="108"/>
      <c r="F182" s="108"/>
      <c r="G182" s="108"/>
      <c r="H182" s="108"/>
      <c r="I182" s="82">
        <v>24244</v>
      </c>
      <c r="J182" s="80"/>
      <c r="K182" s="80"/>
      <c r="L182" s="80"/>
      <c r="M182" s="80"/>
      <c r="N182" s="80" t="s">
        <v>186</v>
      </c>
    </row>
    <row r="183" spans="1:14" ht="12">
      <c r="A183" s="108" t="s">
        <v>621</v>
      </c>
      <c r="B183" s="108"/>
      <c r="C183" s="108"/>
      <c r="D183" s="108"/>
      <c r="E183" s="108"/>
      <c r="F183" s="108"/>
      <c r="G183" s="108"/>
      <c r="H183" s="108"/>
      <c r="I183" s="82"/>
      <c r="J183" s="80"/>
      <c r="K183" s="80"/>
      <c r="L183" s="80"/>
      <c r="M183" s="80"/>
      <c r="N183" s="80"/>
    </row>
    <row r="184" spans="1:14" ht="12">
      <c r="A184" s="108" t="s">
        <v>86</v>
      </c>
      <c r="B184" s="108"/>
      <c r="C184" s="108"/>
      <c r="D184" s="108"/>
      <c r="E184" s="108"/>
      <c r="F184" s="108"/>
      <c r="G184" s="108"/>
      <c r="H184" s="108"/>
      <c r="I184" s="82">
        <v>9286</v>
      </c>
      <c r="J184" s="80"/>
      <c r="K184" s="80"/>
      <c r="L184" s="80"/>
      <c r="M184" s="80"/>
      <c r="N184" s="80"/>
    </row>
    <row r="185" spans="1:14" ht="12">
      <c r="A185" s="108" t="s">
        <v>622</v>
      </c>
      <c r="B185" s="108"/>
      <c r="C185" s="108"/>
      <c r="D185" s="108"/>
      <c r="E185" s="108"/>
      <c r="F185" s="108"/>
      <c r="G185" s="108"/>
      <c r="H185" s="108"/>
      <c r="I185" s="82">
        <v>1060</v>
      </c>
      <c r="J185" s="80"/>
      <c r="K185" s="80"/>
      <c r="L185" s="80"/>
      <c r="M185" s="80"/>
      <c r="N185" s="80"/>
    </row>
    <row r="186" spans="1:14" ht="12">
      <c r="A186" s="108" t="s">
        <v>623</v>
      </c>
      <c r="B186" s="108"/>
      <c r="C186" s="108"/>
      <c r="D186" s="108"/>
      <c r="E186" s="108"/>
      <c r="F186" s="108"/>
      <c r="G186" s="108"/>
      <c r="H186" s="108"/>
      <c r="I186" s="82">
        <v>6014</v>
      </c>
      <c r="J186" s="80"/>
      <c r="K186" s="80"/>
      <c r="L186" s="80"/>
      <c r="M186" s="80"/>
      <c r="N186" s="80"/>
    </row>
    <row r="187" spans="1:14" ht="12">
      <c r="A187" s="108" t="s">
        <v>624</v>
      </c>
      <c r="B187" s="108"/>
      <c r="C187" s="108"/>
      <c r="D187" s="108"/>
      <c r="E187" s="108"/>
      <c r="F187" s="108"/>
      <c r="G187" s="108"/>
      <c r="H187" s="108"/>
      <c r="I187" s="82">
        <v>4897</v>
      </c>
      <c r="J187" s="80"/>
      <c r="K187" s="80"/>
      <c r="L187" s="80"/>
      <c r="M187" s="80"/>
      <c r="N187" s="80"/>
    </row>
    <row r="188" spans="1:14" ht="12">
      <c r="A188" s="108" t="s">
        <v>625</v>
      </c>
      <c r="B188" s="108"/>
      <c r="C188" s="108"/>
      <c r="D188" s="108"/>
      <c r="E188" s="108"/>
      <c r="F188" s="108"/>
      <c r="G188" s="108"/>
      <c r="H188" s="108"/>
      <c r="I188" s="82">
        <v>2988</v>
      </c>
      <c r="J188" s="80"/>
      <c r="K188" s="80"/>
      <c r="L188" s="80"/>
      <c r="M188" s="80"/>
      <c r="N188" s="80"/>
    </row>
    <row r="189" spans="1:14" ht="24">
      <c r="A189" s="107" t="s">
        <v>190</v>
      </c>
      <c r="B189" s="107"/>
      <c r="C189" s="107"/>
      <c r="D189" s="107"/>
      <c r="E189" s="107"/>
      <c r="F189" s="107"/>
      <c r="G189" s="107"/>
      <c r="H189" s="107"/>
      <c r="I189" s="82">
        <v>24244</v>
      </c>
      <c r="J189" s="80"/>
      <c r="K189" s="80"/>
      <c r="L189" s="80"/>
      <c r="M189" s="80"/>
      <c r="N189" s="80" t="s">
        <v>186</v>
      </c>
    </row>
    <row r="190" spans="1:14" ht="17.25" customHeight="1">
      <c r="A190" s="107" t="s">
        <v>191</v>
      </c>
      <c r="B190" s="107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</row>
    <row r="191" spans="1:14" ht="192">
      <c r="A191" s="78">
        <v>95</v>
      </c>
      <c r="B191" s="79" t="s">
        <v>192</v>
      </c>
      <c r="C191" s="79" t="s">
        <v>193</v>
      </c>
      <c r="D191" s="78">
        <v>5.56</v>
      </c>
      <c r="E191" s="80">
        <v>76.88</v>
      </c>
      <c r="F191" s="80">
        <v>76.88</v>
      </c>
      <c r="G191" s="80"/>
      <c r="H191" s="81" t="s">
        <v>194</v>
      </c>
      <c r="I191" s="82">
        <v>5052</v>
      </c>
      <c r="J191" s="80"/>
      <c r="K191" s="80">
        <v>5052</v>
      </c>
      <c r="L191" s="80" t="str">
        <f>IF(5.56*0=0," ",TEXT(,ROUND((5.56*0*1),2)))</f>
        <v> </v>
      </c>
      <c r="M191" s="80"/>
      <c r="N191" s="80"/>
    </row>
    <row r="192" spans="1:14" ht="144">
      <c r="A192" s="78">
        <v>96</v>
      </c>
      <c r="B192" s="79" t="s">
        <v>195</v>
      </c>
      <c r="C192" s="79" t="s">
        <v>196</v>
      </c>
      <c r="D192" s="78">
        <v>5.944</v>
      </c>
      <c r="E192" s="80">
        <v>37.42</v>
      </c>
      <c r="F192" s="80">
        <v>37.42</v>
      </c>
      <c r="G192" s="80"/>
      <c r="H192" s="81" t="s">
        <v>197</v>
      </c>
      <c r="I192" s="82">
        <v>2416</v>
      </c>
      <c r="J192" s="80"/>
      <c r="K192" s="80">
        <v>2416</v>
      </c>
      <c r="L192" s="80" t="str">
        <f>IF(5.944*0=0," ",TEXT(,ROUND((5.944*0*1),2)))</f>
        <v> </v>
      </c>
      <c r="M192" s="80"/>
      <c r="N192" s="80"/>
    </row>
    <row r="193" spans="1:14" ht="192">
      <c r="A193" s="78">
        <v>97</v>
      </c>
      <c r="B193" s="79" t="s">
        <v>198</v>
      </c>
      <c r="C193" s="79" t="s">
        <v>199</v>
      </c>
      <c r="D193" s="78">
        <v>0.689</v>
      </c>
      <c r="E193" s="80">
        <v>90.45</v>
      </c>
      <c r="F193" s="80">
        <v>90.45</v>
      </c>
      <c r="G193" s="80"/>
      <c r="H193" s="81" t="s">
        <v>200</v>
      </c>
      <c r="I193" s="82">
        <v>737</v>
      </c>
      <c r="J193" s="80"/>
      <c r="K193" s="80">
        <v>737</v>
      </c>
      <c r="L193" s="80" t="str">
        <f>IF(0.689*0=0," ",TEXT(,ROUND((0.689*0*1),2)))</f>
        <v> </v>
      </c>
      <c r="M193" s="80"/>
      <c r="N193" s="80"/>
    </row>
    <row r="194" spans="1:14" ht="192">
      <c r="A194" s="78">
        <v>98</v>
      </c>
      <c r="B194" s="79" t="s">
        <v>201</v>
      </c>
      <c r="C194" s="79" t="s">
        <v>202</v>
      </c>
      <c r="D194" s="78">
        <v>0.247</v>
      </c>
      <c r="E194" s="80">
        <v>170.85</v>
      </c>
      <c r="F194" s="80">
        <v>170.85</v>
      </c>
      <c r="G194" s="80"/>
      <c r="H194" s="81" t="s">
        <v>203</v>
      </c>
      <c r="I194" s="82">
        <v>499</v>
      </c>
      <c r="J194" s="80"/>
      <c r="K194" s="80">
        <v>499</v>
      </c>
      <c r="L194" s="80" t="str">
        <f>IF(0.247*0=0," ",TEXT(,ROUND((0.247*0*1),2)))</f>
        <v> </v>
      </c>
      <c r="M194" s="80"/>
      <c r="N194" s="80"/>
    </row>
    <row r="195" spans="1:14" ht="12">
      <c r="A195" s="108" t="s">
        <v>606</v>
      </c>
      <c r="B195" s="108"/>
      <c r="C195" s="108"/>
      <c r="D195" s="108"/>
      <c r="E195" s="108"/>
      <c r="F195" s="108"/>
      <c r="G195" s="108"/>
      <c r="H195" s="108"/>
      <c r="I195" s="82">
        <v>8704</v>
      </c>
      <c r="J195" s="80"/>
      <c r="K195" s="80">
        <v>8704</v>
      </c>
      <c r="L195" s="80"/>
      <c r="M195" s="80"/>
      <c r="N195" s="80"/>
    </row>
    <row r="196" spans="1:14" ht="12">
      <c r="A196" s="107" t="s">
        <v>204</v>
      </c>
      <c r="B196" s="107"/>
      <c r="C196" s="107"/>
      <c r="D196" s="107"/>
      <c r="E196" s="107"/>
      <c r="F196" s="107"/>
      <c r="G196" s="107"/>
      <c r="H196" s="107"/>
      <c r="I196" s="82"/>
      <c r="J196" s="80"/>
      <c r="K196" s="80"/>
      <c r="L196" s="80"/>
      <c r="M196" s="80"/>
      <c r="N196" s="80"/>
    </row>
    <row r="197" spans="1:14" ht="12">
      <c r="A197" s="108" t="s">
        <v>619</v>
      </c>
      <c r="B197" s="108"/>
      <c r="C197" s="108"/>
      <c r="D197" s="108"/>
      <c r="E197" s="108"/>
      <c r="F197" s="108"/>
      <c r="G197" s="108"/>
      <c r="H197" s="108"/>
      <c r="I197" s="82">
        <v>8704</v>
      </c>
      <c r="J197" s="80"/>
      <c r="K197" s="80"/>
      <c r="L197" s="80"/>
      <c r="M197" s="80"/>
      <c r="N197" s="80"/>
    </row>
    <row r="198" spans="1:14" ht="12">
      <c r="A198" s="108" t="s">
        <v>620</v>
      </c>
      <c r="B198" s="108"/>
      <c r="C198" s="108"/>
      <c r="D198" s="108"/>
      <c r="E198" s="108"/>
      <c r="F198" s="108"/>
      <c r="G198" s="108"/>
      <c r="H198" s="108"/>
      <c r="I198" s="82">
        <v>8704</v>
      </c>
      <c r="J198" s="80"/>
      <c r="K198" s="80"/>
      <c r="L198" s="80"/>
      <c r="M198" s="80"/>
      <c r="N198" s="80"/>
    </row>
    <row r="199" spans="1:14" ht="12">
      <c r="A199" s="108" t="s">
        <v>621</v>
      </c>
      <c r="B199" s="108"/>
      <c r="C199" s="108"/>
      <c r="D199" s="108"/>
      <c r="E199" s="108"/>
      <c r="F199" s="108"/>
      <c r="G199" s="108"/>
      <c r="H199" s="108"/>
      <c r="I199" s="82"/>
      <c r="J199" s="80"/>
      <c r="K199" s="80"/>
      <c r="L199" s="80"/>
      <c r="M199" s="80"/>
      <c r="N199" s="80"/>
    </row>
    <row r="200" spans="1:14" ht="12">
      <c r="A200" s="108" t="s">
        <v>622</v>
      </c>
      <c r="B200" s="108"/>
      <c r="C200" s="108"/>
      <c r="D200" s="108"/>
      <c r="E200" s="108"/>
      <c r="F200" s="108"/>
      <c r="G200" s="108"/>
      <c r="H200" s="108"/>
      <c r="I200" s="82">
        <v>8704</v>
      </c>
      <c r="J200" s="80"/>
      <c r="K200" s="80"/>
      <c r="L200" s="80"/>
      <c r="M200" s="80"/>
      <c r="N200" s="80"/>
    </row>
    <row r="201" spans="1:14" ht="12">
      <c r="A201" s="107" t="s">
        <v>205</v>
      </c>
      <c r="B201" s="107"/>
      <c r="C201" s="107"/>
      <c r="D201" s="107"/>
      <c r="E201" s="107"/>
      <c r="F201" s="107"/>
      <c r="G201" s="107"/>
      <c r="H201" s="107"/>
      <c r="I201" s="82">
        <v>8704</v>
      </c>
      <c r="J201" s="80"/>
      <c r="K201" s="80"/>
      <c r="L201" s="80"/>
      <c r="M201" s="80"/>
      <c r="N201" s="80"/>
    </row>
    <row r="202" spans="1:14" ht="24">
      <c r="A202" s="109" t="s">
        <v>206</v>
      </c>
      <c r="B202" s="108"/>
      <c r="C202" s="108"/>
      <c r="D202" s="108"/>
      <c r="E202" s="108"/>
      <c r="F202" s="108"/>
      <c r="G202" s="108"/>
      <c r="H202" s="108"/>
      <c r="I202" s="83">
        <v>857227</v>
      </c>
      <c r="J202" s="83">
        <v>224914</v>
      </c>
      <c r="K202" s="83" t="s">
        <v>207</v>
      </c>
      <c r="L202" s="83">
        <v>568061</v>
      </c>
      <c r="M202" s="83"/>
      <c r="N202" s="83" t="s">
        <v>208</v>
      </c>
    </row>
    <row r="203" spans="1:14" ht="12">
      <c r="A203" s="109" t="s">
        <v>609</v>
      </c>
      <c r="B203" s="108"/>
      <c r="C203" s="108"/>
      <c r="D203" s="108"/>
      <c r="E203" s="108"/>
      <c r="F203" s="108"/>
      <c r="G203" s="108"/>
      <c r="H203" s="108"/>
      <c r="I203" s="83">
        <v>190152</v>
      </c>
      <c r="J203" s="83"/>
      <c r="K203" s="83"/>
      <c r="L203" s="83"/>
      <c r="M203" s="83"/>
      <c r="N203" s="83"/>
    </row>
    <row r="204" spans="1:14" ht="12">
      <c r="A204" s="109" t="s">
        <v>610</v>
      </c>
      <c r="B204" s="108"/>
      <c r="C204" s="108"/>
      <c r="D204" s="108"/>
      <c r="E204" s="108"/>
      <c r="F204" s="108"/>
      <c r="G204" s="108"/>
      <c r="H204" s="108"/>
      <c r="I204" s="83">
        <v>106847</v>
      </c>
      <c r="J204" s="83"/>
      <c r="K204" s="83"/>
      <c r="L204" s="83"/>
      <c r="M204" s="83"/>
      <c r="N204" s="83"/>
    </row>
    <row r="205" spans="1:14" ht="12">
      <c r="A205" s="110" t="s">
        <v>209</v>
      </c>
      <c r="B205" s="107"/>
      <c r="C205" s="107"/>
      <c r="D205" s="107"/>
      <c r="E205" s="107"/>
      <c r="F205" s="107"/>
      <c r="G205" s="107"/>
      <c r="H205" s="107"/>
      <c r="I205" s="83"/>
      <c r="J205" s="83"/>
      <c r="K205" s="83"/>
      <c r="L205" s="83"/>
      <c r="M205" s="83"/>
      <c r="N205" s="83"/>
    </row>
    <row r="206" spans="1:14" ht="24" customHeight="1">
      <c r="A206" s="109" t="s">
        <v>612</v>
      </c>
      <c r="B206" s="108"/>
      <c r="C206" s="108"/>
      <c r="D206" s="108"/>
      <c r="E206" s="108"/>
      <c r="F206" s="108"/>
      <c r="G206" s="108"/>
      <c r="H206" s="108"/>
      <c r="I206" s="83">
        <v>17028</v>
      </c>
      <c r="J206" s="83"/>
      <c r="K206" s="83"/>
      <c r="L206" s="83"/>
      <c r="M206" s="83"/>
      <c r="N206" s="83">
        <v>54.65</v>
      </c>
    </row>
    <row r="207" spans="1:14" ht="24">
      <c r="A207" s="109" t="s">
        <v>613</v>
      </c>
      <c r="B207" s="108"/>
      <c r="C207" s="108"/>
      <c r="D207" s="108"/>
      <c r="E207" s="108"/>
      <c r="F207" s="108"/>
      <c r="G207" s="108"/>
      <c r="H207" s="108"/>
      <c r="I207" s="83">
        <v>264093</v>
      </c>
      <c r="J207" s="83"/>
      <c r="K207" s="83"/>
      <c r="L207" s="83"/>
      <c r="M207" s="83"/>
      <c r="N207" s="83" t="s">
        <v>210</v>
      </c>
    </row>
    <row r="208" spans="1:14" ht="24">
      <c r="A208" s="109" t="s">
        <v>614</v>
      </c>
      <c r="B208" s="108"/>
      <c r="C208" s="108"/>
      <c r="D208" s="108"/>
      <c r="E208" s="108"/>
      <c r="F208" s="108"/>
      <c r="G208" s="108"/>
      <c r="H208" s="108"/>
      <c r="I208" s="83">
        <v>147840</v>
      </c>
      <c r="J208" s="83"/>
      <c r="K208" s="83"/>
      <c r="L208" s="83"/>
      <c r="M208" s="83"/>
      <c r="N208" s="83" t="s">
        <v>211</v>
      </c>
    </row>
    <row r="209" spans="1:14" ht="24">
      <c r="A209" s="109" t="s">
        <v>616</v>
      </c>
      <c r="B209" s="108"/>
      <c r="C209" s="108"/>
      <c r="D209" s="108"/>
      <c r="E209" s="108"/>
      <c r="F209" s="108"/>
      <c r="G209" s="108"/>
      <c r="H209" s="108"/>
      <c r="I209" s="83">
        <v>5654</v>
      </c>
      <c r="J209" s="83"/>
      <c r="K209" s="83"/>
      <c r="L209" s="83"/>
      <c r="M209" s="83"/>
      <c r="N209" s="83" t="s">
        <v>591</v>
      </c>
    </row>
    <row r="210" spans="1:14" ht="24" customHeight="1">
      <c r="A210" s="109" t="s">
        <v>617</v>
      </c>
      <c r="B210" s="108"/>
      <c r="C210" s="108"/>
      <c r="D210" s="108"/>
      <c r="E210" s="108"/>
      <c r="F210" s="108"/>
      <c r="G210" s="108"/>
      <c r="H210" s="108"/>
      <c r="I210" s="83">
        <v>573</v>
      </c>
      <c r="J210" s="83"/>
      <c r="K210" s="83"/>
      <c r="L210" s="83"/>
      <c r="M210" s="83"/>
      <c r="N210" s="83" t="s">
        <v>599</v>
      </c>
    </row>
    <row r="211" spans="1:14" ht="12">
      <c r="A211" s="109" t="s">
        <v>618</v>
      </c>
      <c r="B211" s="108"/>
      <c r="C211" s="108"/>
      <c r="D211" s="108"/>
      <c r="E211" s="108"/>
      <c r="F211" s="108"/>
      <c r="G211" s="108"/>
      <c r="H211" s="108"/>
      <c r="I211" s="83">
        <v>4842</v>
      </c>
      <c r="J211" s="83"/>
      <c r="K211" s="83"/>
      <c r="L211" s="83"/>
      <c r="M211" s="83"/>
      <c r="N211" s="83"/>
    </row>
    <row r="212" spans="1:14" ht="12">
      <c r="A212" s="109" t="s">
        <v>619</v>
      </c>
      <c r="B212" s="108"/>
      <c r="C212" s="108"/>
      <c r="D212" s="108"/>
      <c r="E212" s="108"/>
      <c r="F212" s="108"/>
      <c r="G212" s="108"/>
      <c r="H212" s="108"/>
      <c r="I212" s="83">
        <v>9832</v>
      </c>
      <c r="J212" s="83"/>
      <c r="K212" s="83"/>
      <c r="L212" s="83"/>
      <c r="M212" s="83"/>
      <c r="N212" s="83"/>
    </row>
    <row r="213" spans="1:14" ht="24">
      <c r="A213" s="109" t="s">
        <v>74</v>
      </c>
      <c r="B213" s="108"/>
      <c r="C213" s="108"/>
      <c r="D213" s="108"/>
      <c r="E213" s="108"/>
      <c r="F213" s="108"/>
      <c r="G213" s="108"/>
      <c r="H213" s="108"/>
      <c r="I213" s="83">
        <v>2463</v>
      </c>
      <c r="J213" s="83"/>
      <c r="K213" s="83"/>
      <c r="L213" s="83"/>
      <c r="M213" s="83"/>
      <c r="N213" s="83" t="s">
        <v>635</v>
      </c>
    </row>
    <row r="214" spans="1:14" ht="24">
      <c r="A214" s="109" t="s">
        <v>75</v>
      </c>
      <c r="B214" s="108"/>
      <c r="C214" s="108"/>
      <c r="D214" s="108"/>
      <c r="E214" s="108"/>
      <c r="F214" s="108"/>
      <c r="G214" s="108"/>
      <c r="H214" s="108"/>
      <c r="I214" s="83">
        <v>25574</v>
      </c>
      <c r="J214" s="83"/>
      <c r="K214" s="83"/>
      <c r="L214" s="83"/>
      <c r="M214" s="83"/>
      <c r="N214" s="83" t="s">
        <v>212</v>
      </c>
    </row>
    <row r="215" spans="1:14" ht="24">
      <c r="A215" s="109" t="s">
        <v>76</v>
      </c>
      <c r="B215" s="108"/>
      <c r="C215" s="108"/>
      <c r="D215" s="108"/>
      <c r="E215" s="108"/>
      <c r="F215" s="108"/>
      <c r="G215" s="108"/>
      <c r="H215" s="108"/>
      <c r="I215" s="83">
        <v>347936</v>
      </c>
      <c r="J215" s="83"/>
      <c r="K215" s="83"/>
      <c r="L215" s="83"/>
      <c r="M215" s="83"/>
      <c r="N215" s="83" t="s">
        <v>213</v>
      </c>
    </row>
    <row r="216" spans="1:14" ht="12">
      <c r="A216" s="109" t="s">
        <v>79</v>
      </c>
      <c r="B216" s="108"/>
      <c r="C216" s="108"/>
      <c r="D216" s="108"/>
      <c r="E216" s="108"/>
      <c r="F216" s="108"/>
      <c r="G216" s="108"/>
      <c r="H216" s="108"/>
      <c r="I216" s="83">
        <v>159087</v>
      </c>
      <c r="J216" s="83"/>
      <c r="K216" s="83"/>
      <c r="L216" s="83"/>
      <c r="M216" s="83"/>
      <c r="N216" s="83"/>
    </row>
    <row r="217" spans="1:14" ht="24">
      <c r="A217" s="109" t="s">
        <v>80</v>
      </c>
      <c r="B217" s="108"/>
      <c r="C217" s="108"/>
      <c r="D217" s="108"/>
      <c r="E217" s="108"/>
      <c r="F217" s="108"/>
      <c r="G217" s="108"/>
      <c r="H217" s="108"/>
      <c r="I217" s="83">
        <v>143098</v>
      </c>
      <c r="J217" s="83"/>
      <c r="K217" s="83"/>
      <c r="L217" s="83"/>
      <c r="M217" s="83"/>
      <c r="N217" s="83" t="s">
        <v>214</v>
      </c>
    </row>
    <row r="218" spans="1:14" ht="24">
      <c r="A218" s="109" t="s">
        <v>81</v>
      </c>
      <c r="B218" s="108"/>
      <c r="C218" s="108"/>
      <c r="D218" s="108"/>
      <c r="E218" s="108"/>
      <c r="F218" s="108"/>
      <c r="G218" s="108"/>
      <c r="H218" s="108"/>
      <c r="I218" s="83">
        <v>7975</v>
      </c>
      <c r="J218" s="83"/>
      <c r="K218" s="83"/>
      <c r="L218" s="83"/>
      <c r="M218" s="83"/>
      <c r="N218" s="83" t="s">
        <v>82</v>
      </c>
    </row>
    <row r="219" spans="1:14" ht="12">
      <c r="A219" s="109" t="s">
        <v>83</v>
      </c>
      <c r="B219" s="108"/>
      <c r="C219" s="108"/>
      <c r="D219" s="108"/>
      <c r="E219" s="108"/>
      <c r="F219" s="108"/>
      <c r="G219" s="108"/>
      <c r="H219" s="108"/>
      <c r="I219" s="83">
        <v>75</v>
      </c>
      <c r="J219" s="83"/>
      <c r="K219" s="83"/>
      <c r="L219" s="83"/>
      <c r="M219" s="83"/>
      <c r="N219" s="83">
        <v>0.11</v>
      </c>
    </row>
    <row r="220" spans="1:14" ht="12">
      <c r="A220" s="109" t="s">
        <v>85</v>
      </c>
      <c r="B220" s="108"/>
      <c r="C220" s="108"/>
      <c r="D220" s="108"/>
      <c r="E220" s="108"/>
      <c r="F220" s="108"/>
      <c r="G220" s="108"/>
      <c r="H220" s="108"/>
      <c r="I220" s="83">
        <v>57</v>
      </c>
      <c r="J220" s="83"/>
      <c r="K220" s="83"/>
      <c r="L220" s="83"/>
      <c r="M220" s="83"/>
      <c r="N220" s="83"/>
    </row>
    <row r="221" spans="1:14" ht="24">
      <c r="A221" s="109" t="s">
        <v>149</v>
      </c>
      <c r="B221" s="108"/>
      <c r="C221" s="108"/>
      <c r="D221" s="108"/>
      <c r="E221" s="108"/>
      <c r="F221" s="108"/>
      <c r="G221" s="108"/>
      <c r="H221" s="108"/>
      <c r="I221" s="83">
        <v>12672</v>
      </c>
      <c r="J221" s="83"/>
      <c r="K221" s="83"/>
      <c r="L221" s="83"/>
      <c r="M221" s="83"/>
      <c r="N221" s="83" t="s">
        <v>144</v>
      </c>
    </row>
    <row r="222" spans="1:14" ht="24" customHeight="1">
      <c r="A222" s="109" t="s">
        <v>188</v>
      </c>
      <c r="B222" s="108"/>
      <c r="C222" s="108"/>
      <c r="D222" s="108"/>
      <c r="E222" s="108"/>
      <c r="F222" s="108"/>
      <c r="G222" s="108"/>
      <c r="H222" s="108"/>
      <c r="I222" s="83">
        <v>5427</v>
      </c>
      <c r="J222" s="83"/>
      <c r="K222" s="83"/>
      <c r="L222" s="83"/>
      <c r="M222" s="83"/>
      <c r="N222" s="83" t="s">
        <v>189</v>
      </c>
    </row>
    <row r="223" spans="1:14" ht="24">
      <c r="A223" s="109" t="s">
        <v>620</v>
      </c>
      <c r="B223" s="108"/>
      <c r="C223" s="108"/>
      <c r="D223" s="108"/>
      <c r="E223" s="108"/>
      <c r="F223" s="108"/>
      <c r="G223" s="108"/>
      <c r="H223" s="108"/>
      <c r="I223" s="83">
        <v>1154226</v>
      </c>
      <c r="J223" s="83"/>
      <c r="K223" s="83"/>
      <c r="L223" s="83"/>
      <c r="M223" s="83"/>
      <c r="N223" s="83" t="s">
        <v>208</v>
      </c>
    </row>
    <row r="224" spans="1:14" ht="12">
      <c r="A224" s="109" t="s">
        <v>621</v>
      </c>
      <c r="B224" s="108"/>
      <c r="C224" s="108"/>
      <c r="D224" s="108"/>
      <c r="E224" s="108"/>
      <c r="F224" s="108"/>
      <c r="G224" s="108"/>
      <c r="H224" s="108"/>
      <c r="I224" s="83"/>
      <c r="J224" s="83"/>
      <c r="K224" s="83"/>
      <c r="L224" s="83"/>
      <c r="M224" s="83"/>
      <c r="N224" s="83"/>
    </row>
    <row r="225" spans="1:14" ht="12">
      <c r="A225" s="109" t="s">
        <v>86</v>
      </c>
      <c r="B225" s="108"/>
      <c r="C225" s="108"/>
      <c r="D225" s="108"/>
      <c r="E225" s="108"/>
      <c r="F225" s="108"/>
      <c r="G225" s="108"/>
      <c r="H225" s="108"/>
      <c r="I225" s="83">
        <v>568061</v>
      </c>
      <c r="J225" s="83"/>
      <c r="K225" s="83"/>
      <c r="L225" s="83"/>
      <c r="M225" s="83"/>
      <c r="N225" s="83"/>
    </row>
    <row r="226" spans="1:14" ht="12">
      <c r="A226" s="109" t="s">
        <v>622</v>
      </c>
      <c r="B226" s="108"/>
      <c r="C226" s="108"/>
      <c r="D226" s="108"/>
      <c r="E226" s="108"/>
      <c r="F226" s="108"/>
      <c r="G226" s="108"/>
      <c r="H226" s="108"/>
      <c r="I226" s="83">
        <v>64252</v>
      </c>
      <c r="J226" s="83"/>
      <c r="K226" s="83"/>
      <c r="L226" s="83"/>
      <c r="M226" s="83"/>
      <c r="N226" s="83"/>
    </row>
    <row r="227" spans="1:14" ht="12">
      <c r="A227" s="109" t="s">
        <v>623</v>
      </c>
      <c r="B227" s="108"/>
      <c r="C227" s="108"/>
      <c r="D227" s="108"/>
      <c r="E227" s="108"/>
      <c r="F227" s="108"/>
      <c r="G227" s="108"/>
      <c r="H227" s="108"/>
      <c r="I227" s="83">
        <v>228998</v>
      </c>
      <c r="J227" s="83"/>
      <c r="K227" s="83"/>
      <c r="L227" s="83"/>
      <c r="M227" s="83"/>
      <c r="N227" s="83"/>
    </row>
    <row r="228" spans="1:14" ht="12">
      <c r="A228" s="109" t="s">
        <v>624</v>
      </c>
      <c r="B228" s="108"/>
      <c r="C228" s="108"/>
      <c r="D228" s="108"/>
      <c r="E228" s="108"/>
      <c r="F228" s="108"/>
      <c r="G228" s="108"/>
      <c r="H228" s="108"/>
      <c r="I228" s="83">
        <v>190152</v>
      </c>
      <c r="J228" s="83"/>
      <c r="K228" s="83"/>
      <c r="L228" s="83"/>
      <c r="M228" s="83"/>
      <c r="N228" s="83"/>
    </row>
    <row r="229" spans="1:14" ht="12">
      <c r="A229" s="109" t="s">
        <v>625</v>
      </c>
      <c r="B229" s="108"/>
      <c r="C229" s="108"/>
      <c r="D229" s="108"/>
      <c r="E229" s="108"/>
      <c r="F229" s="108"/>
      <c r="G229" s="108"/>
      <c r="H229" s="108"/>
      <c r="I229" s="83">
        <v>106847</v>
      </c>
      <c r="J229" s="83"/>
      <c r="K229" s="83"/>
      <c r="L229" s="83"/>
      <c r="M229" s="83"/>
      <c r="N229" s="83"/>
    </row>
    <row r="230" spans="1:14" ht="24">
      <c r="A230" s="110" t="s">
        <v>215</v>
      </c>
      <c r="B230" s="107"/>
      <c r="C230" s="107"/>
      <c r="D230" s="107"/>
      <c r="E230" s="107"/>
      <c r="F230" s="107"/>
      <c r="G230" s="107"/>
      <c r="H230" s="107"/>
      <c r="I230" s="83">
        <v>1154226</v>
      </c>
      <c r="J230" s="83"/>
      <c r="K230" s="83"/>
      <c r="L230" s="83"/>
      <c r="M230" s="83"/>
      <c r="N230" s="83" t="s">
        <v>208</v>
      </c>
    </row>
    <row r="231" spans="1:13" ht="12">
      <c r="A231" s="84"/>
      <c r="B231" s="85"/>
      <c r="C231" s="85"/>
      <c r="D231" s="84"/>
      <c r="E231" s="73"/>
      <c r="F231" s="73"/>
      <c r="G231" s="73"/>
      <c r="H231" s="73"/>
      <c r="I231" s="86"/>
      <c r="J231" s="73"/>
      <c r="K231" s="73"/>
      <c r="L231" s="73"/>
      <c r="M231" s="73"/>
    </row>
    <row r="232" spans="1:13" ht="12">
      <c r="A232" s="84"/>
      <c r="B232" s="85"/>
      <c r="C232" s="85"/>
      <c r="D232" s="84"/>
      <c r="E232" s="73"/>
      <c r="F232" s="73"/>
      <c r="G232" s="73"/>
      <c r="H232" s="73"/>
      <c r="I232" s="86"/>
      <c r="J232" s="73"/>
      <c r="K232" s="73"/>
      <c r="L232" s="73"/>
      <c r="M232" s="73"/>
    </row>
    <row r="233" spans="1:13" ht="12">
      <c r="A233" s="84"/>
      <c r="B233" s="85"/>
      <c r="C233" s="87" t="s">
        <v>776</v>
      </c>
      <c r="D233" s="84"/>
      <c r="E233" s="73"/>
      <c r="F233" s="87" t="s">
        <v>544</v>
      </c>
      <c r="G233" s="87"/>
      <c r="H233" s="87"/>
      <c r="I233" s="73"/>
      <c r="J233" s="73"/>
      <c r="K233" s="73"/>
      <c r="L233" s="73"/>
      <c r="M233" s="73"/>
    </row>
    <row r="274" ht="12"/>
    <row r="275" ht="12"/>
    <row r="276" ht="12"/>
    <row r="277" ht="12"/>
  </sheetData>
  <sheetProtection/>
  <mergeCells count="131">
    <mergeCell ref="K12:M13"/>
    <mergeCell ref="A230:H230"/>
    <mergeCell ref="A226:H226"/>
    <mergeCell ref="A227:H227"/>
    <mergeCell ref="A228:H228"/>
    <mergeCell ref="A229:H229"/>
    <mergeCell ref="A222:H222"/>
    <mergeCell ref="A223:H223"/>
    <mergeCell ref="A224:H224"/>
    <mergeCell ref="A225:H225"/>
    <mergeCell ref="A218:H218"/>
    <mergeCell ref="A219:H219"/>
    <mergeCell ref="A220:H220"/>
    <mergeCell ref="A221:H221"/>
    <mergeCell ref="A214:H214"/>
    <mergeCell ref="A215:H215"/>
    <mergeCell ref="A216:H216"/>
    <mergeCell ref="A217:H217"/>
    <mergeCell ref="A210:H210"/>
    <mergeCell ref="A211:H211"/>
    <mergeCell ref="A212:H212"/>
    <mergeCell ref="A213:H213"/>
    <mergeCell ref="A206:H206"/>
    <mergeCell ref="A207:H207"/>
    <mergeCell ref="A208:H208"/>
    <mergeCell ref="A209:H209"/>
    <mergeCell ref="A202:H202"/>
    <mergeCell ref="A203:H203"/>
    <mergeCell ref="A204:H204"/>
    <mergeCell ref="A205:H205"/>
    <mergeCell ref="A198:H198"/>
    <mergeCell ref="A199:H199"/>
    <mergeCell ref="A200:H200"/>
    <mergeCell ref="A201:H201"/>
    <mergeCell ref="A190:N190"/>
    <mergeCell ref="A195:H195"/>
    <mergeCell ref="A196:H196"/>
    <mergeCell ref="A197:H197"/>
    <mergeCell ref="A186:H186"/>
    <mergeCell ref="A187:H187"/>
    <mergeCell ref="A188:H188"/>
    <mergeCell ref="A189:H189"/>
    <mergeCell ref="A182:H182"/>
    <mergeCell ref="A183:H183"/>
    <mergeCell ref="A184:H184"/>
    <mergeCell ref="A185:H185"/>
    <mergeCell ref="A178:H178"/>
    <mergeCell ref="A179:H179"/>
    <mergeCell ref="A180:H180"/>
    <mergeCell ref="A181:H181"/>
    <mergeCell ref="A160:N160"/>
    <mergeCell ref="A175:H175"/>
    <mergeCell ref="A176:H176"/>
    <mergeCell ref="A177:H177"/>
    <mergeCell ref="A156:H156"/>
    <mergeCell ref="A157:H157"/>
    <mergeCell ref="A158:H158"/>
    <mergeCell ref="A159:H159"/>
    <mergeCell ref="A152:H152"/>
    <mergeCell ref="A153:H153"/>
    <mergeCell ref="A154:H154"/>
    <mergeCell ref="A155:H155"/>
    <mergeCell ref="A148:H148"/>
    <mergeCell ref="A149:H149"/>
    <mergeCell ref="A150:H150"/>
    <mergeCell ref="A151:H151"/>
    <mergeCell ref="A144:H144"/>
    <mergeCell ref="A145:H145"/>
    <mergeCell ref="A146:H146"/>
    <mergeCell ref="A147:H147"/>
    <mergeCell ref="A125:H125"/>
    <mergeCell ref="A126:H126"/>
    <mergeCell ref="A127:N127"/>
    <mergeCell ref="A143:H143"/>
    <mergeCell ref="A121:H121"/>
    <mergeCell ref="A122:H122"/>
    <mergeCell ref="A123:H123"/>
    <mergeCell ref="A124:H124"/>
    <mergeCell ref="A117:H117"/>
    <mergeCell ref="A118:H118"/>
    <mergeCell ref="A119:H119"/>
    <mergeCell ref="A120:H120"/>
    <mergeCell ref="A113:H113"/>
    <mergeCell ref="A114:H114"/>
    <mergeCell ref="A115:H115"/>
    <mergeCell ref="A116:H116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46:H46"/>
    <mergeCell ref="A47:H47"/>
    <mergeCell ref="A48:H48"/>
    <mergeCell ref="A49:N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20:N20"/>
    <mergeCell ref="A31:H31"/>
    <mergeCell ref="A32:H32"/>
    <mergeCell ref="A33:H33"/>
    <mergeCell ref="A10:N10"/>
    <mergeCell ref="C11:E11"/>
    <mergeCell ref="D12:E12"/>
    <mergeCell ref="G17:G18"/>
    <mergeCell ref="M15:N16"/>
    <mergeCell ref="E15:G16"/>
    <mergeCell ref="I15:L16"/>
    <mergeCell ref="M17:M18"/>
    <mergeCell ref="H15:H18"/>
    <mergeCell ref="I17:I18"/>
    <mergeCell ref="J17:J18"/>
    <mergeCell ref="L17:L18"/>
    <mergeCell ref="N17:N18"/>
    <mergeCell ref="A15:A18"/>
    <mergeCell ref="D15:D18"/>
    <mergeCell ref="C15:C18"/>
    <mergeCell ref="B15:B18"/>
  </mergeCells>
  <printOptions/>
  <pageMargins left="0.2362204724409449" right="0.1968503937007874" top="0.35433070866141736" bottom="0.2755905511811024" header="0.2755905511811024" footer="0.1968503937007874"/>
  <pageSetup horizontalDpi="600" verticalDpi="600" orientation="landscape" paperSize="9" scale="9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4"/>
  <sheetViews>
    <sheetView showGridLines="0" zoomScalePageLayoutView="0" workbookViewId="0" topLeftCell="A94">
      <selection activeCell="B19" sqref="B19"/>
    </sheetView>
  </sheetViews>
  <sheetFormatPr defaultColWidth="9.00390625" defaultRowHeight="12.75"/>
  <cols>
    <col min="1" max="1" width="4.00390625" style="14" customWidth="1"/>
    <col min="2" max="2" width="70.375" style="13" customWidth="1"/>
    <col min="3" max="3" width="4.00390625" style="11" customWidth="1"/>
    <col min="4" max="4" width="63.25390625" style="4" customWidth="1"/>
    <col min="5" max="5" width="3.625" style="0" customWidth="1"/>
    <col min="6" max="6" width="48.25390625" style="0" customWidth="1"/>
    <col min="12" max="12" width="18.625" style="0" bestFit="1" customWidth="1"/>
  </cols>
  <sheetData>
    <row r="1" spans="1:6" ht="13.5" customHeight="1">
      <c r="A1" s="111" t="s">
        <v>460</v>
      </c>
      <c r="B1" s="112"/>
      <c r="C1" s="112"/>
      <c r="D1" s="112"/>
      <c r="E1" s="15"/>
      <c r="F1" s="10"/>
    </row>
    <row r="2" spans="1:5" ht="12.75">
      <c r="A2" s="11"/>
      <c r="B2" s="4"/>
      <c r="E2" s="15"/>
    </row>
    <row r="3" spans="1:5" ht="13.5" thickBot="1">
      <c r="A3" s="11"/>
      <c r="B3" s="4"/>
      <c r="E3" s="15"/>
    </row>
    <row r="4" spans="1:6" ht="13.5" thickBot="1">
      <c r="A4" s="16" t="s">
        <v>398</v>
      </c>
      <c r="B4" s="17" t="s">
        <v>461</v>
      </c>
      <c r="C4" s="17" t="s">
        <v>398</v>
      </c>
      <c r="D4" s="18" t="s">
        <v>462</v>
      </c>
      <c r="E4" s="17" t="s">
        <v>398</v>
      </c>
      <c r="F4" s="19" t="s">
        <v>478</v>
      </c>
    </row>
    <row r="5" spans="1:6" ht="12.75">
      <c r="A5" s="20"/>
      <c r="B5" s="21"/>
      <c r="C5" s="20"/>
      <c r="D5" s="22"/>
      <c r="E5" s="23"/>
      <c r="F5" s="24"/>
    </row>
    <row r="6" spans="1:6" ht="12.75">
      <c r="A6" s="25"/>
      <c r="B6" s="26" t="s">
        <v>479</v>
      </c>
      <c r="C6" s="25">
        <v>1</v>
      </c>
      <c r="D6" s="27" t="s">
        <v>276</v>
      </c>
      <c r="E6" s="23">
        <v>1</v>
      </c>
      <c r="F6" s="24" t="s">
        <v>480</v>
      </c>
    </row>
    <row r="7" spans="1:6" ht="12.75">
      <c r="A7" s="25"/>
      <c r="B7" s="28"/>
      <c r="C7" s="25">
        <v>2</v>
      </c>
      <c r="D7" s="29" t="s">
        <v>399</v>
      </c>
      <c r="E7" s="23">
        <v>2</v>
      </c>
      <c r="F7" s="24" t="s">
        <v>481</v>
      </c>
    </row>
    <row r="8" spans="1:6" ht="12.75">
      <c r="A8" s="25">
        <v>1</v>
      </c>
      <c r="B8" s="30" t="s">
        <v>312</v>
      </c>
      <c r="C8" s="25">
        <v>3</v>
      </c>
      <c r="D8" s="29" t="s">
        <v>400</v>
      </c>
      <c r="E8" s="23">
        <v>3</v>
      </c>
      <c r="F8" s="24" t="s">
        <v>482</v>
      </c>
    </row>
    <row r="9" spans="1:6" ht="12.75">
      <c r="A9" s="31">
        <v>2</v>
      </c>
      <c r="B9" s="32" t="s">
        <v>313</v>
      </c>
      <c r="C9" s="25">
        <v>4</v>
      </c>
      <c r="D9" s="29" t="s">
        <v>401</v>
      </c>
      <c r="E9" s="23">
        <v>4</v>
      </c>
      <c r="F9" s="24" t="s">
        <v>483</v>
      </c>
    </row>
    <row r="10" spans="1:6" ht="12.75">
      <c r="A10" s="25">
        <v>3</v>
      </c>
      <c r="B10" s="30" t="s">
        <v>314</v>
      </c>
      <c r="C10" s="25">
        <v>5</v>
      </c>
      <c r="D10" s="29" t="s">
        <v>402</v>
      </c>
      <c r="E10" s="23">
        <v>5</v>
      </c>
      <c r="F10" s="24" t="s">
        <v>484</v>
      </c>
    </row>
    <row r="11" spans="1:6" ht="12.75">
      <c r="A11" s="31">
        <v>4</v>
      </c>
      <c r="B11" s="32" t="s">
        <v>315</v>
      </c>
      <c r="C11" s="25">
        <v>6</v>
      </c>
      <c r="D11" s="29" t="s">
        <v>403</v>
      </c>
      <c r="E11" s="23">
        <v>6</v>
      </c>
      <c r="F11" s="24" t="s">
        <v>485</v>
      </c>
    </row>
    <row r="12" spans="1:6" ht="12.75">
      <c r="A12" s="25">
        <v>5</v>
      </c>
      <c r="B12" s="32" t="s">
        <v>496</v>
      </c>
      <c r="D12" s="29"/>
      <c r="E12" s="23">
        <v>7</v>
      </c>
      <c r="F12" s="24" t="s">
        <v>486</v>
      </c>
    </row>
    <row r="13" spans="1:6" ht="12.75">
      <c r="A13" s="31">
        <v>6</v>
      </c>
      <c r="B13" s="32" t="s">
        <v>497</v>
      </c>
      <c r="C13" s="25">
        <v>7</v>
      </c>
      <c r="D13" s="27" t="s">
        <v>239</v>
      </c>
      <c r="E13" s="23">
        <v>8</v>
      </c>
      <c r="F13" s="24" t="s">
        <v>487</v>
      </c>
    </row>
    <row r="14" spans="1:6" ht="12.75">
      <c r="A14" s="25">
        <v>7</v>
      </c>
      <c r="B14" s="32" t="s">
        <v>498</v>
      </c>
      <c r="C14" s="25">
        <v>8</v>
      </c>
      <c r="D14" s="29" t="s">
        <v>404</v>
      </c>
      <c r="E14" s="23"/>
      <c r="F14" s="24"/>
    </row>
    <row r="15" spans="1:6" ht="12.75">
      <c r="A15" s="31">
        <v>8</v>
      </c>
      <c r="B15" s="32" t="s">
        <v>499</v>
      </c>
      <c r="C15" s="25">
        <v>9</v>
      </c>
      <c r="D15" s="29" t="s">
        <v>405</v>
      </c>
      <c r="E15" s="23"/>
      <c r="F15" s="24"/>
    </row>
    <row r="16" spans="1:6" ht="12.75">
      <c r="A16" s="25">
        <v>9</v>
      </c>
      <c r="B16" s="32" t="s">
        <v>500</v>
      </c>
      <c r="C16" s="25">
        <v>10</v>
      </c>
      <c r="D16" s="29" t="s">
        <v>406</v>
      </c>
      <c r="E16" s="23"/>
      <c r="F16" s="24"/>
    </row>
    <row r="17" spans="1:6" ht="12.75">
      <c r="A17" s="31">
        <v>10</v>
      </c>
      <c r="B17" s="32" t="s">
        <v>501</v>
      </c>
      <c r="C17" s="25">
        <v>11</v>
      </c>
      <c r="D17" s="29" t="s">
        <v>407</v>
      </c>
      <c r="E17" s="23"/>
      <c r="F17" s="24"/>
    </row>
    <row r="18" spans="1:6" ht="12.75">
      <c r="A18" s="25">
        <v>11</v>
      </c>
      <c r="B18" s="32" t="s">
        <v>502</v>
      </c>
      <c r="C18" s="25">
        <v>12</v>
      </c>
      <c r="D18" s="29" t="s">
        <v>408</v>
      </c>
      <c r="E18" s="23"/>
      <c r="F18" s="24"/>
    </row>
    <row r="19" spans="1:6" ht="12.75">
      <c r="A19" s="25">
        <v>12</v>
      </c>
      <c r="B19" s="32" t="s">
        <v>316</v>
      </c>
      <c r="D19" s="29"/>
      <c r="E19" s="23"/>
      <c r="F19" s="24"/>
    </row>
    <row r="20" spans="1:6" ht="12.75">
      <c r="A20" s="25">
        <v>13</v>
      </c>
      <c r="B20" s="30" t="s">
        <v>317</v>
      </c>
      <c r="C20" s="25">
        <v>13</v>
      </c>
      <c r="D20" s="27" t="s">
        <v>236</v>
      </c>
      <c r="E20" s="23"/>
      <c r="F20" s="24"/>
    </row>
    <row r="21" spans="1:6" ht="12.75">
      <c r="A21" s="25">
        <v>14</v>
      </c>
      <c r="B21" s="30" t="s">
        <v>318</v>
      </c>
      <c r="C21" s="25">
        <v>14</v>
      </c>
      <c r="D21" s="29" t="s">
        <v>409</v>
      </c>
      <c r="E21" s="23"/>
      <c r="F21" s="24"/>
    </row>
    <row r="22" spans="1:6" ht="12.75">
      <c r="A22" s="25">
        <v>15</v>
      </c>
      <c r="B22" s="30" t="s">
        <v>319</v>
      </c>
      <c r="C22" s="25">
        <v>15</v>
      </c>
      <c r="D22" s="29" t="s">
        <v>410</v>
      </c>
      <c r="E22" s="23"/>
      <c r="F22" s="24"/>
    </row>
    <row r="23" spans="1:6" ht="12.75">
      <c r="A23" s="25">
        <v>16</v>
      </c>
      <c r="B23" s="30" t="s">
        <v>488</v>
      </c>
      <c r="C23" s="25">
        <v>16</v>
      </c>
      <c r="D23" s="29" t="s">
        <v>411</v>
      </c>
      <c r="E23" s="23"/>
      <c r="F23" s="24"/>
    </row>
    <row r="24" spans="1:6" ht="12.75">
      <c r="A24" s="25">
        <v>17</v>
      </c>
      <c r="B24" s="30" t="s">
        <v>489</v>
      </c>
      <c r="C24" s="25">
        <v>17</v>
      </c>
      <c r="D24" s="29" t="s">
        <v>412</v>
      </c>
      <c r="E24" s="23"/>
      <c r="F24" s="24"/>
    </row>
    <row r="25" spans="1:6" ht="12.75">
      <c r="A25" s="25">
        <v>18</v>
      </c>
      <c r="B25" s="30" t="s">
        <v>490</v>
      </c>
      <c r="C25" s="25">
        <v>18</v>
      </c>
      <c r="D25" s="29" t="s">
        <v>413</v>
      </c>
      <c r="E25" s="23"/>
      <c r="F25" s="24"/>
    </row>
    <row r="26" spans="1:6" ht="12.75">
      <c r="A26" s="25">
        <v>19</v>
      </c>
      <c r="B26" s="32" t="s">
        <v>320</v>
      </c>
      <c r="D26" s="29"/>
      <c r="E26" s="23"/>
      <c r="F26" s="24"/>
    </row>
    <row r="27" spans="1:6" ht="12.75">
      <c r="A27" s="25">
        <v>20</v>
      </c>
      <c r="B27" s="30" t="s">
        <v>321</v>
      </c>
      <c r="C27" s="25">
        <v>19</v>
      </c>
      <c r="D27" s="27" t="s">
        <v>237</v>
      </c>
      <c r="E27" s="23"/>
      <c r="F27" s="24"/>
    </row>
    <row r="28" spans="1:6" ht="12.75">
      <c r="A28" s="25">
        <v>21</v>
      </c>
      <c r="B28" s="30" t="s">
        <v>322</v>
      </c>
      <c r="C28" s="25">
        <v>20</v>
      </c>
      <c r="D28" s="29" t="s">
        <v>414</v>
      </c>
      <c r="E28" s="23"/>
      <c r="F28" s="24"/>
    </row>
    <row r="29" spans="1:6" ht="12.75">
      <c r="A29" s="25">
        <v>22</v>
      </c>
      <c r="B29" s="30" t="s">
        <v>323</v>
      </c>
      <c r="C29" s="25">
        <v>21</v>
      </c>
      <c r="D29" s="29" t="s">
        <v>415</v>
      </c>
      <c r="E29" s="23"/>
      <c r="F29" s="24"/>
    </row>
    <row r="30" spans="1:6" ht="12.75">
      <c r="A30" s="25">
        <v>23</v>
      </c>
      <c r="B30" s="30" t="s">
        <v>324</v>
      </c>
      <c r="C30" s="25">
        <v>22</v>
      </c>
      <c r="D30" s="29" t="s">
        <v>416</v>
      </c>
      <c r="E30" s="23"/>
      <c r="F30" s="24"/>
    </row>
    <row r="31" spans="1:6" ht="12.75">
      <c r="A31" s="25">
        <v>24</v>
      </c>
      <c r="B31" s="32" t="s">
        <v>325</v>
      </c>
      <c r="C31" s="25">
        <v>23</v>
      </c>
      <c r="D31" s="29" t="s">
        <v>417</v>
      </c>
      <c r="E31" s="23"/>
      <c r="F31" s="24"/>
    </row>
    <row r="32" spans="1:6" ht="12.75">
      <c r="A32" s="25">
        <v>25</v>
      </c>
      <c r="B32" s="32" t="s">
        <v>326</v>
      </c>
      <c r="C32" s="25">
        <v>24</v>
      </c>
      <c r="D32" s="29" t="s">
        <v>418</v>
      </c>
      <c r="E32" s="23"/>
      <c r="F32" s="24"/>
    </row>
    <row r="33" spans="1:6" ht="12.75">
      <c r="A33" s="25">
        <v>26</v>
      </c>
      <c r="B33" s="32" t="s">
        <v>327</v>
      </c>
      <c r="D33" s="29"/>
      <c r="E33" s="23"/>
      <c r="F33" s="24"/>
    </row>
    <row r="34" spans="1:6" ht="12.75">
      <c r="A34" s="25">
        <v>27</v>
      </c>
      <c r="B34" s="32" t="s">
        <v>328</v>
      </c>
      <c r="C34" s="25">
        <v>25</v>
      </c>
      <c r="D34" s="27" t="s">
        <v>238</v>
      </c>
      <c r="E34" s="23"/>
      <c r="F34" s="24"/>
    </row>
    <row r="35" spans="1:6" ht="12.75">
      <c r="A35" s="25">
        <v>28</v>
      </c>
      <c r="B35" s="32" t="s">
        <v>329</v>
      </c>
      <c r="C35" s="25">
        <v>26</v>
      </c>
      <c r="D35" s="29" t="s">
        <v>419</v>
      </c>
      <c r="E35" s="23"/>
      <c r="F35" s="24"/>
    </row>
    <row r="36" spans="1:6" ht="12.75">
      <c r="A36" s="25">
        <v>29</v>
      </c>
      <c r="B36" s="32" t="s">
        <v>330</v>
      </c>
      <c r="C36" s="25">
        <v>27</v>
      </c>
      <c r="D36" s="29" t="s">
        <v>420</v>
      </c>
      <c r="E36" s="23"/>
      <c r="F36" s="24"/>
    </row>
    <row r="37" spans="1:6" ht="12.75">
      <c r="A37" s="25">
        <v>30</v>
      </c>
      <c r="B37" s="32" t="s">
        <v>331</v>
      </c>
      <c r="C37" s="25">
        <v>28</v>
      </c>
      <c r="D37" s="29" t="s">
        <v>421</v>
      </c>
      <c r="E37" s="23"/>
      <c r="F37" s="24"/>
    </row>
    <row r="38" spans="1:6" ht="12.75">
      <c r="A38" s="25">
        <v>31</v>
      </c>
      <c r="B38" s="30" t="s">
        <v>332</v>
      </c>
      <c r="C38" s="25">
        <v>29</v>
      </c>
      <c r="D38" s="29" t="s">
        <v>422</v>
      </c>
      <c r="E38" s="23"/>
      <c r="F38" s="24"/>
    </row>
    <row r="39" spans="1:6" ht="12.75">
      <c r="A39" s="25">
        <v>32</v>
      </c>
      <c r="B39" s="32" t="s">
        <v>463</v>
      </c>
      <c r="C39" s="25">
        <v>30</v>
      </c>
      <c r="D39" s="29" t="s">
        <v>423</v>
      </c>
      <c r="E39" s="23"/>
      <c r="F39" s="24"/>
    </row>
    <row r="40" spans="1:6" ht="12.75">
      <c r="A40" s="25">
        <v>33</v>
      </c>
      <c r="B40" s="30" t="s">
        <v>333</v>
      </c>
      <c r="D40" s="29"/>
      <c r="E40" s="23"/>
      <c r="F40" s="24"/>
    </row>
    <row r="41" spans="1:6" ht="12.75">
      <c r="A41" s="25">
        <v>34</v>
      </c>
      <c r="B41" s="30" t="s">
        <v>334</v>
      </c>
      <c r="C41" s="25">
        <v>31</v>
      </c>
      <c r="D41" s="27" t="s">
        <v>242</v>
      </c>
      <c r="E41" s="23"/>
      <c r="F41" s="24"/>
    </row>
    <row r="42" spans="1:6" ht="12.75">
      <c r="A42" s="25">
        <v>35</v>
      </c>
      <c r="B42" s="30" t="s">
        <v>335</v>
      </c>
      <c r="C42" s="25">
        <v>32</v>
      </c>
      <c r="D42" s="29" t="s">
        <v>424</v>
      </c>
      <c r="E42" s="23"/>
      <c r="F42" s="24"/>
    </row>
    <row r="43" spans="1:6" ht="12.75">
      <c r="A43" s="25">
        <v>36</v>
      </c>
      <c r="B43" s="30" t="s">
        <v>336</v>
      </c>
      <c r="C43" s="25">
        <v>33</v>
      </c>
      <c r="D43" s="29" t="s">
        <v>425</v>
      </c>
      <c r="E43" s="23"/>
      <c r="F43" s="24"/>
    </row>
    <row r="44" spans="1:6" ht="12.75">
      <c r="A44" s="25">
        <v>37</v>
      </c>
      <c r="B44" s="30" t="s">
        <v>337</v>
      </c>
      <c r="C44" s="25">
        <v>34</v>
      </c>
      <c r="D44" s="29" t="s">
        <v>426</v>
      </c>
      <c r="E44" s="23"/>
      <c r="F44" s="24"/>
    </row>
    <row r="45" spans="1:6" ht="12.75">
      <c r="A45" s="25">
        <v>38</v>
      </c>
      <c r="B45" s="30" t="s">
        <v>338</v>
      </c>
      <c r="C45" s="25">
        <v>35</v>
      </c>
      <c r="D45" s="29" t="s">
        <v>427</v>
      </c>
      <c r="E45" s="23"/>
      <c r="F45" s="24"/>
    </row>
    <row r="46" spans="1:6" ht="12.75">
      <c r="A46" s="25">
        <v>39</v>
      </c>
      <c r="B46" s="30" t="s">
        <v>339</v>
      </c>
      <c r="C46" s="25">
        <v>36</v>
      </c>
      <c r="D46" s="29" t="s">
        <v>428</v>
      </c>
      <c r="E46" s="23"/>
      <c r="F46" s="24"/>
    </row>
    <row r="47" spans="1:6" ht="12.75">
      <c r="A47" s="25">
        <v>40</v>
      </c>
      <c r="B47" s="30" t="s">
        <v>340</v>
      </c>
      <c r="C47" s="45"/>
      <c r="D47" s="29"/>
      <c r="E47" s="23"/>
      <c r="F47" s="24"/>
    </row>
    <row r="48" spans="1:6" ht="12.75">
      <c r="A48" s="25">
        <v>41</v>
      </c>
      <c r="B48" s="30" t="s">
        <v>341</v>
      </c>
      <c r="C48" s="25">
        <v>37</v>
      </c>
      <c r="D48" s="27" t="s">
        <v>241</v>
      </c>
      <c r="E48" s="23"/>
      <c r="F48" s="24"/>
    </row>
    <row r="49" spans="1:6" ht="12.75">
      <c r="A49" s="25">
        <v>42</v>
      </c>
      <c r="B49" s="32" t="s">
        <v>342</v>
      </c>
      <c r="C49" s="25">
        <v>38</v>
      </c>
      <c r="D49" s="29" t="s">
        <v>429</v>
      </c>
      <c r="E49" s="23"/>
      <c r="F49" s="24"/>
    </row>
    <row r="50" spans="1:6" ht="12.75">
      <c r="A50" s="25">
        <v>43</v>
      </c>
      <c r="B50" s="30" t="s">
        <v>343</v>
      </c>
      <c r="C50" s="25">
        <v>39</v>
      </c>
      <c r="D50" s="29" t="s">
        <v>430</v>
      </c>
      <c r="E50" s="23"/>
      <c r="F50" s="24"/>
    </row>
    <row r="51" spans="1:6" ht="12.75">
      <c r="A51" s="25">
        <v>44</v>
      </c>
      <c r="B51" s="30" t="s">
        <v>344</v>
      </c>
      <c r="C51" s="25">
        <v>40</v>
      </c>
      <c r="D51" s="29" t="s">
        <v>431</v>
      </c>
      <c r="E51" s="23"/>
      <c r="F51" s="24"/>
    </row>
    <row r="52" spans="1:6" ht="12.75">
      <c r="A52" s="25">
        <v>45</v>
      </c>
      <c r="B52" s="30" t="s">
        <v>345</v>
      </c>
      <c r="C52" s="25">
        <v>41</v>
      </c>
      <c r="D52" s="29" t="s">
        <v>432</v>
      </c>
      <c r="E52" s="23"/>
      <c r="F52" s="24"/>
    </row>
    <row r="53" spans="1:6" ht="12.75">
      <c r="A53" s="25">
        <v>46</v>
      </c>
      <c r="B53" s="30" t="s">
        <v>346</v>
      </c>
      <c r="C53" s="25">
        <v>42</v>
      </c>
      <c r="D53" s="29" t="s">
        <v>433</v>
      </c>
      <c r="E53" s="23"/>
      <c r="F53" s="24"/>
    </row>
    <row r="54" spans="1:6" ht="12.75">
      <c r="A54" s="25">
        <v>47</v>
      </c>
      <c r="B54" s="30" t="s">
        <v>503</v>
      </c>
      <c r="D54" s="29"/>
      <c r="E54" s="23"/>
      <c r="F54" s="24"/>
    </row>
    <row r="55" spans="1:6" ht="12.75">
      <c r="A55" s="25">
        <v>48</v>
      </c>
      <c r="B55" s="30" t="s">
        <v>504</v>
      </c>
      <c r="C55" s="25">
        <v>43</v>
      </c>
      <c r="D55" s="27" t="s">
        <v>240</v>
      </c>
      <c r="E55" s="23"/>
      <c r="F55" s="24"/>
    </row>
    <row r="56" spans="1:6" ht="12.75">
      <c r="A56" s="25">
        <v>49</v>
      </c>
      <c r="B56" s="30" t="s">
        <v>505</v>
      </c>
      <c r="C56" s="25">
        <v>44</v>
      </c>
      <c r="D56" s="29" t="s">
        <v>434</v>
      </c>
      <c r="E56" s="23"/>
      <c r="F56" s="24"/>
    </row>
    <row r="57" spans="1:6" ht="12.75">
      <c r="A57" s="25">
        <v>50</v>
      </c>
      <c r="B57" s="30" t="s">
        <v>506</v>
      </c>
      <c r="C57" s="25">
        <v>45</v>
      </c>
      <c r="D57" s="29" t="s">
        <v>435</v>
      </c>
      <c r="E57" s="23"/>
      <c r="F57" s="24"/>
    </row>
    <row r="58" spans="1:6" ht="12.75">
      <c r="A58" s="25">
        <v>51</v>
      </c>
      <c r="B58" s="30" t="s">
        <v>507</v>
      </c>
      <c r="C58" s="25">
        <v>46</v>
      </c>
      <c r="D58" s="29" t="s">
        <v>436</v>
      </c>
      <c r="E58" s="23"/>
      <c r="F58" s="24"/>
    </row>
    <row r="59" spans="1:6" ht="12.75">
      <c r="A59" s="25">
        <v>52</v>
      </c>
      <c r="B59" s="30" t="s">
        <v>508</v>
      </c>
      <c r="C59" s="25">
        <v>47</v>
      </c>
      <c r="D59" s="29" t="s">
        <v>437</v>
      </c>
      <c r="E59" s="23"/>
      <c r="F59" s="24"/>
    </row>
    <row r="60" spans="1:6" ht="12.75">
      <c r="A60" s="25">
        <v>53</v>
      </c>
      <c r="B60" s="30" t="s">
        <v>509</v>
      </c>
      <c r="C60" s="25">
        <v>48</v>
      </c>
      <c r="D60" s="29" t="s">
        <v>438</v>
      </c>
      <c r="E60" s="23"/>
      <c r="F60" s="24"/>
    </row>
    <row r="61" spans="1:6" ht="12.75">
      <c r="A61" s="25">
        <v>54</v>
      </c>
      <c r="B61" s="30" t="s">
        <v>510</v>
      </c>
      <c r="D61" s="29"/>
      <c r="E61" s="23"/>
      <c r="F61" s="24"/>
    </row>
    <row r="62" spans="1:6" ht="12.75">
      <c r="A62" s="25">
        <v>55</v>
      </c>
      <c r="B62" s="30" t="s">
        <v>511</v>
      </c>
      <c r="C62" s="25">
        <v>49</v>
      </c>
      <c r="D62" s="27" t="s">
        <v>439</v>
      </c>
      <c r="E62" s="23"/>
      <c r="F62" s="24"/>
    </row>
    <row r="63" spans="1:6" ht="12.75">
      <c r="A63" s="25">
        <v>56</v>
      </c>
      <c r="B63" s="30" t="s">
        <v>512</v>
      </c>
      <c r="C63" s="25">
        <v>50</v>
      </c>
      <c r="D63" s="33" t="s">
        <v>440</v>
      </c>
      <c r="E63" s="23"/>
      <c r="F63" s="24"/>
    </row>
    <row r="64" spans="1:6" ht="14.25" customHeight="1">
      <c r="A64" s="25">
        <v>57</v>
      </c>
      <c r="B64" s="30" t="s">
        <v>513</v>
      </c>
      <c r="C64" s="25">
        <v>51</v>
      </c>
      <c r="D64" s="33" t="s">
        <v>233</v>
      </c>
      <c r="E64" s="23"/>
      <c r="F64" s="24"/>
    </row>
    <row r="65" spans="1:6" ht="12.75">
      <c r="A65" s="25">
        <v>58</v>
      </c>
      <c r="B65" s="30" t="s">
        <v>514</v>
      </c>
      <c r="C65" s="25">
        <v>52</v>
      </c>
      <c r="D65" s="33" t="s">
        <v>234</v>
      </c>
      <c r="E65" s="23"/>
      <c r="F65" s="24"/>
    </row>
    <row r="66" spans="1:6" ht="12.75">
      <c r="A66" s="25">
        <v>59</v>
      </c>
      <c r="B66" s="30" t="s">
        <v>515</v>
      </c>
      <c r="C66" s="25">
        <v>53</v>
      </c>
      <c r="D66" s="33" t="s">
        <v>235</v>
      </c>
      <c r="E66" s="23"/>
      <c r="F66" s="24"/>
    </row>
    <row r="67" spans="1:6" ht="12.75">
      <c r="A67" s="25"/>
      <c r="B67" s="30"/>
      <c r="D67" s="33"/>
      <c r="E67" s="23"/>
      <c r="F67" s="24"/>
    </row>
    <row r="68" spans="1:6" ht="12.75">
      <c r="A68" s="31"/>
      <c r="B68" s="26" t="s">
        <v>491</v>
      </c>
      <c r="C68" s="25">
        <v>54</v>
      </c>
      <c r="D68" s="27" t="s">
        <v>245</v>
      </c>
      <c r="E68" s="23"/>
      <c r="F68" s="24"/>
    </row>
    <row r="69" spans="1:6" ht="12.75">
      <c r="A69" s="31"/>
      <c r="B69" s="28"/>
      <c r="C69" s="25">
        <v>55</v>
      </c>
      <c r="D69" s="33" t="s">
        <v>246</v>
      </c>
      <c r="E69" s="23"/>
      <c r="F69" s="24"/>
    </row>
    <row r="70" spans="1:6" ht="12.75" customHeight="1">
      <c r="A70" s="25">
        <v>60</v>
      </c>
      <c r="B70" s="32" t="s">
        <v>347</v>
      </c>
      <c r="C70" s="25">
        <v>56</v>
      </c>
      <c r="D70" s="29" t="s">
        <v>285</v>
      </c>
      <c r="E70" s="23"/>
      <c r="F70" s="24"/>
    </row>
    <row r="71" spans="1:6" ht="13.5" customHeight="1">
      <c r="A71" s="31">
        <v>61</v>
      </c>
      <c r="B71" s="32" t="s">
        <v>348</v>
      </c>
      <c r="C71" s="25">
        <v>57</v>
      </c>
      <c r="D71" s="29" t="s">
        <v>286</v>
      </c>
      <c r="E71" s="23"/>
      <c r="F71" s="24"/>
    </row>
    <row r="72" spans="1:6" ht="12.75">
      <c r="A72" s="25">
        <v>62</v>
      </c>
      <c r="B72" s="32" t="s">
        <v>349</v>
      </c>
      <c r="D72" s="33"/>
      <c r="E72" s="23"/>
      <c r="F72" s="24"/>
    </row>
    <row r="73" spans="1:6" ht="12.75">
      <c r="A73" s="31">
        <v>63</v>
      </c>
      <c r="B73" s="32" t="s">
        <v>350</v>
      </c>
      <c r="C73" s="25">
        <v>58</v>
      </c>
      <c r="D73" s="27" t="s">
        <v>228</v>
      </c>
      <c r="E73" s="23"/>
      <c r="F73" s="24"/>
    </row>
    <row r="74" spans="1:6" ht="12.75">
      <c r="A74" s="25">
        <v>64</v>
      </c>
      <c r="B74" s="32" t="s">
        <v>351</v>
      </c>
      <c r="C74" s="25">
        <v>59</v>
      </c>
      <c r="D74" s="33" t="s">
        <v>229</v>
      </c>
      <c r="E74" s="23"/>
      <c r="F74" s="24"/>
    </row>
    <row r="75" spans="1:6" ht="12.75">
      <c r="A75" s="31">
        <v>65</v>
      </c>
      <c r="B75" s="32" t="s">
        <v>352</v>
      </c>
      <c r="C75" s="25">
        <v>60</v>
      </c>
      <c r="D75" s="33" t="s">
        <v>230</v>
      </c>
      <c r="E75" s="23"/>
      <c r="F75" s="24"/>
    </row>
    <row r="76" spans="1:6" ht="12.75">
      <c r="A76" s="25">
        <v>66</v>
      </c>
      <c r="B76" s="32" t="s">
        <v>353</v>
      </c>
      <c r="C76" s="25">
        <v>61</v>
      </c>
      <c r="D76" s="33" t="s">
        <v>231</v>
      </c>
      <c r="E76" s="23"/>
      <c r="F76" s="24"/>
    </row>
    <row r="77" spans="1:6" ht="12.75">
      <c r="A77" s="31">
        <v>67</v>
      </c>
      <c r="B77" s="32" t="s">
        <v>354</v>
      </c>
      <c r="C77" s="25">
        <v>62</v>
      </c>
      <c r="D77" s="33" t="s">
        <v>232</v>
      </c>
      <c r="E77" s="23"/>
      <c r="F77" s="24"/>
    </row>
    <row r="78" spans="1:6" ht="12.75">
      <c r="A78" s="25">
        <v>68</v>
      </c>
      <c r="B78" s="32" t="s">
        <v>355</v>
      </c>
      <c r="C78" s="25">
        <v>63</v>
      </c>
      <c r="D78" s="29" t="s">
        <v>269</v>
      </c>
      <c r="E78" s="23"/>
      <c r="F78" s="24"/>
    </row>
    <row r="79" spans="1:6" ht="12.75">
      <c r="A79" s="31">
        <v>69</v>
      </c>
      <c r="B79" s="32" t="s">
        <v>356</v>
      </c>
      <c r="C79" s="25">
        <v>64</v>
      </c>
      <c r="D79" s="33" t="s">
        <v>270</v>
      </c>
      <c r="E79" s="23"/>
      <c r="F79" s="24"/>
    </row>
    <row r="80" spans="1:6" ht="12.75">
      <c r="A80" s="25">
        <v>70</v>
      </c>
      <c r="B80" s="32" t="s">
        <v>357</v>
      </c>
      <c r="C80" s="25">
        <v>65</v>
      </c>
      <c r="D80" s="33" t="s">
        <v>275</v>
      </c>
      <c r="E80" s="23"/>
      <c r="F80" s="24"/>
    </row>
    <row r="81" spans="1:6" ht="12.75">
      <c r="A81" s="31">
        <v>71</v>
      </c>
      <c r="B81" s="32" t="s">
        <v>358</v>
      </c>
      <c r="C81" s="25">
        <v>66</v>
      </c>
      <c r="D81" s="33" t="s">
        <v>271</v>
      </c>
      <c r="E81" s="23"/>
      <c r="F81" s="24"/>
    </row>
    <row r="82" spans="1:6" ht="12" customHeight="1">
      <c r="A82" s="25">
        <v>72</v>
      </c>
      <c r="B82" s="32" t="s">
        <v>359</v>
      </c>
      <c r="C82" s="25">
        <v>67</v>
      </c>
      <c r="D82" s="33" t="s">
        <v>272</v>
      </c>
      <c r="E82" s="23"/>
      <c r="F82" s="24"/>
    </row>
    <row r="83" spans="1:6" ht="12.75" customHeight="1">
      <c r="A83" s="31">
        <v>73</v>
      </c>
      <c r="B83" s="32" t="s">
        <v>360</v>
      </c>
      <c r="C83" s="25">
        <v>68</v>
      </c>
      <c r="D83" s="33" t="s">
        <v>273</v>
      </c>
      <c r="E83" s="23"/>
      <c r="F83" s="24"/>
    </row>
    <row r="84" spans="1:6" ht="12.75">
      <c r="A84" s="25">
        <v>74</v>
      </c>
      <c r="B84" s="32" t="s">
        <v>361</v>
      </c>
      <c r="C84" s="25">
        <v>69</v>
      </c>
      <c r="D84" s="33" t="s">
        <v>274</v>
      </c>
      <c r="E84" s="23"/>
      <c r="F84" s="24"/>
    </row>
    <row r="85" spans="1:6" ht="12.75">
      <c r="A85" s="31">
        <v>75</v>
      </c>
      <c r="B85" s="32" t="s">
        <v>362</v>
      </c>
      <c r="C85" s="25">
        <v>70</v>
      </c>
      <c r="D85" s="29" t="s">
        <v>277</v>
      </c>
      <c r="E85" s="23"/>
      <c r="F85" s="24"/>
    </row>
    <row r="86" spans="1:6" ht="12.75">
      <c r="A86" s="25">
        <v>76</v>
      </c>
      <c r="B86" s="32" t="s">
        <v>363</v>
      </c>
      <c r="C86" s="25">
        <v>71</v>
      </c>
      <c r="D86" s="29" t="s">
        <v>278</v>
      </c>
      <c r="E86" s="23"/>
      <c r="F86" s="24"/>
    </row>
    <row r="87" spans="1:6" ht="12.75">
      <c r="A87" s="31">
        <v>77</v>
      </c>
      <c r="B87" s="32" t="s">
        <v>364</v>
      </c>
      <c r="C87" s="25">
        <v>72</v>
      </c>
      <c r="D87" s="29" t="s">
        <v>291</v>
      </c>
      <c r="E87" s="23"/>
      <c r="F87" s="24"/>
    </row>
    <row r="88" spans="1:6" ht="12.75">
      <c r="A88" s="25"/>
      <c r="B88" s="34"/>
      <c r="C88" s="25">
        <v>73</v>
      </c>
      <c r="D88" s="29" t="s">
        <v>290</v>
      </c>
      <c r="E88" s="23"/>
      <c r="F88" s="24"/>
    </row>
    <row r="89" spans="1:6" ht="12.75">
      <c r="A89" s="25"/>
      <c r="B89" s="26" t="s">
        <v>492</v>
      </c>
      <c r="C89" s="25">
        <v>74</v>
      </c>
      <c r="D89" s="29" t="s">
        <v>289</v>
      </c>
      <c r="E89" s="23"/>
      <c r="F89" s="24"/>
    </row>
    <row r="90" spans="1:6" ht="12.75">
      <c r="A90" s="25"/>
      <c r="B90" s="26"/>
      <c r="C90" s="25">
        <v>75</v>
      </c>
      <c r="D90" s="29" t="s">
        <v>288</v>
      </c>
      <c r="E90" s="23"/>
      <c r="F90" s="24"/>
    </row>
    <row r="91" spans="1:6" ht="12.75">
      <c r="A91" s="25">
        <v>78</v>
      </c>
      <c r="B91" s="32" t="s">
        <v>516</v>
      </c>
      <c r="C91" s="25">
        <v>76</v>
      </c>
      <c r="D91" s="29" t="s">
        <v>287</v>
      </c>
      <c r="E91" s="23"/>
      <c r="F91" s="24"/>
    </row>
    <row r="92" spans="1:6" ht="12.75">
      <c r="A92" s="25">
        <v>79</v>
      </c>
      <c r="B92" s="32" t="s">
        <v>517</v>
      </c>
      <c r="C92" s="25"/>
      <c r="D92" s="29"/>
      <c r="E92" s="23"/>
      <c r="F92" s="24"/>
    </row>
    <row r="93" spans="1:6" ht="14.25" customHeight="1">
      <c r="A93" s="25">
        <v>80</v>
      </c>
      <c r="B93" s="32" t="s">
        <v>518</v>
      </c>
      <c r="C93" s="25">
        <v>77</v>
      </c>
      <c r="D93" s="27" t="s">
        <v>441</v>
      </c>
      <c r="E93" s="23"/>
      <c r="F93" s="24"/>
    </row>
    <row r="94" spans="1:6" ht="12.75">
      <c r="A94" s="25">
        <v>81</v>
      </c>
      <c r="B94" s="32" t="s">
        <v>519</v>
      </c>
      <c r="C94" s="25">
        <v>78</v>
      </c>
      <c r="D94" s="33" t="s">
        <v>442</v>
      </c>
      <c r="E94" s="23"/>
      <c r="F94" s="24"/>
    </row>
    <row r="95" spans="1:6" ht="12.75">
      <c r="A95" s="25">
        <v>82</v>
      </c>
      <c r="B95" s="32" t="s">
        <v>365</v>
      </c>
      <c r="C95" s="25">
        <v>79</v>
      </c>
      <c r="D95" s="33" t="s">
        <v>443</v>
      </c>
      <c r="E95" s="23"/>
      <c r="F95" s="24"/>
    </row>
    <row r="96" spans="1:6" ht="25.5">
      <c r="A96" s="25">
        <v>83</v>
      </c>
      <c r="B96" s="32" t="s">
        <v>366</v>
      </c>
      <c r="C96" s="25">
        <v>80</v>
      </c>
      <c r="D96" s="33" t="s">
        <v>444</v>
      </c>
      <c r="E96" s="23"/>
      <c r="F96" s="24"/>
    </row>
    <row r="97" spans="1:6" ht="12.75">
      <c r="A97" s="25">
        <v>84</v>
      </c>
      <c r="B97" s="32" t="s">
        <v>367</v>
      </c>
      <c r="C97" s="25">
        <v>81</v>
      </c>
      <c r="D97" s="33" t="s">
        <v>445</v>
      </c>
      <c r="E97" s="23"/>
      <c r="F97" s="24"/>
    </row>
    <row r="98" spans="1:6" ht="12.75">
      <c r="A98" s="25">
        <v>85</v>
      </c>
      <c r="B98" s="32" t="s">
        <v>368</v>
      </c>
      <c r="D98" s="33"/>
      <c r="E98" s="23"/>
      <c r="F98" s="24"/>
    </row>
    <row r="99" spans="1:6" ht="12.75">
      <c r="A99" s="25">
        <v>86</v>
      </c>
      <c r="B99" s="32" t="s">
        <v>369</v>
      </c>
      <c r="C99" s="25">
        <v>82</v>
      </c>
      <c r="D99" s="27" t="s">
        <v>243</v>
      </c>
      <c r="E99" s="23"/>
      <c r="F99" s="24"/>
    </row>
    <row r="100" spans="1:6" ht="12.75">
      <c r="A100" s="25">
        <v>87</v>
      </c>
      <c r="B100" s="32" t="s">
        <v>370</v>
      </c>
      <c r="C100" s="25">
        <v>83</v>
      </c>
      <c r="D100" s="33" t="s">
        <v>446</v>
      </c>
      <c r="E100" s="23"/>
      <c r="F100" s="24"/>
    </row>
    <row r="101" spans="1:6" ht="12.75">
      <c r="A101" s="25">
        <v>88</v>
      </c>
      <c r="B101" s="32" t="s">
        <v>371</v>
      </c>
      <c r="C101" s="25">
        <v>84</v>
      </c>
      <c r="D101" s="33" t="s">
        <v>447</v>
      </c>
      <c r="E101" s="23"/>
      <c r="F101" s="24"/>
    </row>
    <row r="102" spans="1:6" ht="25.5">
      <c r="A102" s="25">
        <v>89</v>
      </c>
      <c r="B102" s="32" t="s">
        <v>372</v>
      </c>
      <c r="C102" s="25">
        <v>85</v>
      </c>
      <c r="D102" s="33" t="s">
        <v>448</v>
      </c>
      <c r="E102" s="23"/>
      <c r="F102" s="24"/>
    </row>
    <row r="103" spans="1:6" ht="12.75">
      <c r="A103" s="25">
        <v>90</v>
      </c>
      <c r="B103" s="32" t="s">
        <v>373</v>
      </c>
      <c r="C103" s="25">
        <v>86</v>
      </c>
      <c r="D103" s="33" t="s">
        <v>449</v>
      </c>
      <c r="E103" s="23"/>
      <c r="F103" s="24"/>
    </row>
    <row r="104" spans="1:6" ht="12.75">
      <c r="A104" s="25">
        <v>91</v>
      </c>
      <c r="B104" s="32" t="s">
        <v>374</v>
      </c>
      <c r="C104" s="25">
        <v>87</v>
      </c>
      <c r="D104" s="29" t="s">
        <v>450</v>
      </c>
      <c r="E104" s="23"/>
      <c r="F104" s="24"/>
    </row>
    <row r="105" spans="1:6" ht="12.75">
      <c r="A105" s="25">
        <v>92</v>
      </c>
      <c r="B105" s="32" t="s">
        <v>375</v>
      </c>
      <c r="C105" s="25">
        <v>88</v>
      </c>
      <c r="D105" s="33" t="s">
        <v>451</v>
      </c>
      <c r="E105" s="23"/>
      <c r="F105" s="24"/>
    </row>
    <row r="106" spans="1:6" ht="12.75">
      <c r="A106" s="25">
        <v>93</v>
      </c>
      <c r="B106" s="32" t="s">
        <v>376</v>
      </c>
      <c r="C106" s="25">
        <v>89</v>
      </c>
      <c r="D106" s="33" t="s">
        <v>275</v>
      </c>
      <c r="E106" s="23"/>
      <c r="F106" s="24"/>
    </row>
    <row r="107" spans="1:6" ht="12.75">
      <c r="A107" s="25">
        <v>94</v>
      </c>
      <c r="B107" s="32" t="s">
        <v>377</v>
      </c>
      <c r="C107" s="25">
        <v>90</v>
      </c>
      <c r="D107" s="33" t="s">
        <v>244</v>
      </c>
      <c r="E107" s="23"/>
      <c r="F107" s="24"/>
    </row>
    <row r="108" spans="1:6" ht="12.75">
      <c r="A108" s="25">
        <v>95</v>
      </c>
      <c r="B108" s="32" t="s">
        <v>378</v>
      </c>
      <c r="C108" s="25">
        <v>91</v>
      </c>
      <c r="D108" s="33" t="s">
        <v>247</v>
      </c>
      <c r="E108" s="23"/>
      <c r="F108" s="24"/>
    </row>
    <row r="109" spans="1:6" ht="12.75">
      <c r="A109" s="25">
        <v>96</v>
      </c>
      <c r="B109" s="32" t="s">
        <v>379</v>
      </c>
      <c r="C109" s="25">
        <v>92</v>
      </c>
      <c r="D109" s="33" t="s">
        <v>452</v>
      </c>
      <c r="E109" s="23"/>
      <c r="F109" s="24"/>
    </row>
    <row r="110" spans="1:6" ht="12.75">
      <c r="A110" s="25">
        <v>97</v>
      </c>
      <c r="B110" s="32" t="s">
        <v>380</v>
      </c>
      <c r="C110" s="25">
        <v>93</v>
      </c>
      <c r="D110" s="33" t="s">
        <v>453</v>
      </c>
      <c r="E110" s="23"/>
      <c r="F110" s="24"/>
    </row>
    <row r="111" spans="1:6" ht="12.75">
      <c r="A111" s="25">
        <v>98</v>
      </c>
      <c r="B111" s="32" t="s">
        <v>381</v>
      </c>
      <c r="C111" s="25">
        <v>94</v>
      </c>
      <c r="D111" s="29" t="s">
        <v>279</v>
      </c>
      <c r="E111" s="23"/>
      <c r="F111" s="24"/>
    </row>
    <row r="112" spans="1:6" ht="12.75">
      <c r="A112" s="25">
        <v>99</v>
      </c>
      <c r="B112" s="32" t="s">
        <v>382</v>
      </c>
      <c r="C112" s="25">
        <v>95</v>
      </c>
      <c r="D112" s="29" t="s">
        <v>280</v>
      </c>
      <c r="E112" s="23"/>
      <c r="F112" s="24"/>
    </row>
    <row r="113" spans="1:6" ht="12.75">
      <c r="A113" s="25">
        <v>100</v>
      </c>
      <c r="B113" s="32" t="s">
        <v>383</v>
      </c>
      <c r="C113" s="25">
        <v>96</v>
      </c>
      <c r="D113" s="29" t="s">
        <v>292</v>
      </c>
      <c r="E113" s="23"/>
      <c r="F113" s="24"/>
    </row>
    <row r="114" spans="1:6" ht="12.75">
      <c r="A114" s="25">
        <v>101</v>
      </c>
      <c r="B114" s="32" t="s">
        <v>384</v>
      </c>
      <c r="C114" s="25">
        <v>97</v>
      </c>
      <c r="D114" s="29" t="s">
        <v>293</v>
      </c>
      <c r="E114" s="23"/>
      <c r="F114" s="24"/>
    </row>
    <row r="115" spans="1:6" ht="12.75">
      <c r="A115" s="25">
        <v>102</v>
      </c>
      <c r="B115" s="32" t="s">
        <v>520</v>
      </c>
      <c r="C115" s="25">
        <v>98</v>
      </c>
      <c r="D115" s="29" t="s">
        <v>294</v>
      </c>
      <c r="E115" s="23"/>
      <c r="F115" s="24"/>
    </row>
    <row r="116" spans="1:6" ht="12.75">
      <c r="A116" s="25">
        <v>103</v>
      </c>
      <c r="B116" s="32" t="s">
        <v>521</v>
      </c>
      <c r="C116" s="25">
        <v>99</v>
      </c>
      <c r="D116" s="29" t="s">
        <v>295</v>
      </c>
      <c r="E116" s="23"/>
      <c r="F116" s="24"/>
    </row>
    <row r="117" spans="1:6" ht="12.75">
      <c r="A117" s="25">
        <v>104</v>
      </c>
      <c r="B117" s="32" t="s">
        <v>522</v>
      </c>
      <c r="C117" s="25">
        <v>100</v>
      </c>
      <c r="D117" s="29" t="s">
        <v>296</v>
      </c>
      <c r="E117" s="23"/>
      <c r="F117" s="24"/>
    </row>
    <row r="118" spans="1:6" ht="12.75">
      <c r="A118" s="25"/>
      <c r="B118" s="30"/>
      <c r="D118" s="33"/>
      <c r="E118" s="23"/>
      <c r="F118" s="24"/>
    </row>
    <row r="119" spans="1:6" ht="12.75">
      <c r="A119" s="25"/>
      <c r="B119" s="26" t="s">
        <v>493</v>
      </c>
      <c r="C119" s="25">
        <v>101</v>
      </c>
      <c r="D119" s="27" t="s">
        <v>264</v>
      </c>
      <c r="E119" s="23"/>
      <c r="F119" s="24"/>
    </row>
    <row r="120" spans="1:6" ht="12.75">
      <c r="A120" s="25"/>
      <c r="B120" s="30"/>
      <c r="C120" s="25">
        <v>102</v>
      </c>
      <c r="D120" s="29" t="s">
        <v>248</v>
      </c>
      <c r="E120" s="23"/>
      <c r="F120" s="24"/>
    </row>
    <row r="121" spans="1:6" ht="12.75">
      <c r="A121" s="25">
        <v>105</v>
      </c>
      <c r="B121" s="37" t="s">
        <v>464</v>
      </c>
      <c r="C121" s="25">
        <v>103</v>
      </c>
      <c r="D121" s="33" t="s">
        <v>249</v>
      </c>
      <c r="E121" s="23"/>
      <c r="F121" s="24"/>
    </row>
    <row r="122" spans="1:6" ht="12.75">
      <c r="A122" s="25">
        <v>106</v>
      </c>
      <c r="B122" s="37" t="s">
        <v>465</v>
      </c>
      <c r="C122" s="25">
        <v>104</v>
      </c>
      <c r="D122" s="33" t="s">
        <v>250</v>
      </c>
      <c r="E122" s="23"/>
      <c r="F122" s="24"/>
    </row>
    <row r="123" spans="1:6" ht="12.75">
      <c r="A123" s="25">
        <v>107</v>
      </c>
      <c r="B123" s="37" t="s">
        <v>466</v>
      </c>
      <c r="C123" s="25">
        <v>105</v>
      </c>
      <c r="D123" s="29" t="s">
        <v>251</v>
      </c>
      <c r="E123" s="23"/>
      <c r="F123" s="24"/>
    </row>
    <row r="124" spans="1:6" ht="12.75">
      <c r="A124" s="25">
        <v>108</v>
      </c>
      <c r="B124" s="37" t="s">
        <v>467</v>
      </c>
      <c r="C124" s="25">
        <v>106</v>
      </c>
      <c r="D124" s="33" t="s">
        <v>252</v>
      </c>
      <c r="E124" s="23"/>
      <c r="F124" s="24"/>
    </row>
    <row r="125" spans="1:6" ht="12.75">
      <c r="A125" s="25">
        <v>109</v>
      </c>
      <c r="B125" s="37" t="s">
        <v>468</v>
      </c>
      <c r="C125" s="25">
        <v>107</v>
      </c>
      <c r="D125" s="33" t="s">
        <v>253</v>
      </c>
      <c r="E125" s="23"/>
      <c r="F125" s="24"/>
    </row>
    <row r="126" spans="1:6" ht="12.75">
      <c r="A126" s="25">
        <v>110</v>
      </c>
      <c r="B126" s="37" t="s">
        <v>469</v>
      </c>
      <c r="C126" s="25">
        <v>108</v>
      </c>
      <c r="D126" s="33" t="s">
        <v>254</v>
      </c>
      <c r="E126" s="23"/>
      <c r="F126" s="24"/>
    </row>
    <row r="127" spans="1:6" ht="12.75">
      <c r="A127" s="25">
        <v>111</v>
      </c>
      <c r="B127" s="37" t="s">
        <v>470</v>
      </c>
      <c r="C127" s="25">
        <v>109</v>
      </c>
      <c r="D127" s="33" t="s">
        <v>255</v>
      </c>
      <c r="E127" s="23"/>
      <c r="F127" s="24"/>
    </row>
    <row r="128" spans="1:6" ht="12.75" customHeight="1">
      <c r="A128" s="25">
        <v>112</v>
      </c>
      <c r="B128" s="37" t="s">
        <v>471</v>
      </c>
      <c r="C128" s="25">
        <v>110</v>
      </c>
      <c r="D128" s="33" t="s">
        <v>256</v>
      </c>
      <c r="E128" s="23"/>
      <c r="F128" s="24"/>
    </row>
    <row r="129" spans="1:6" ht="12.75">
      <c r="A129" s="25">
        <v>113</v>
      </c>
      <c r="B129" s="37" t="s">
        <v>472</v>
      </c>
      <c r="C129" s="25">
        <v>111</v>
      </c>
      <c r="D129" s="33" t="s">
        <v>257</v>
      </c>
      <c r="E129" s="23"/>
      <c r="F129" s="24"/>
    </row>
    <row r="130" spans="1:6" ht="12.75">
      <c r="A130" s="25">
        <v>114</v>
      </c>
      <c r="B130" s="37" t="s">
        <v>473</v>
      </c>
      <c r="C130" s="25">
        <v>112</v>
      </c>
      <c r="D130" s="29" t="s">
        <v>258</v>
      </c>
      <c r="E130" s="23"/>
      <c r="F130" s="24"/>
    </row>
    <row r="131" spans="1:6" ht="12.75">
      <c r="A131" s="25">
        <v>115</v>
      </c>
      <c r="B131" s="37" t="s">
        <v>474</v>
      </c>
      <c r="C131" s="25">
        <v>113</v>
      </c>
      <c r="D131" s="33" t="s">
        <v>259</v>
      </c>
      <c r="E131" s="23"/>
      <c r="F131" s="24"/>
    </row>
    <row r="132" spans="1:6" ht="12.75">
      <c r="A132" s="25">
        <v>116</v>
      </c>
      <c r="B132" s="37" t="s">
        <v>475</v>
      </c>
      <c r="C132" s="25">
        <v>114</v>
      </c>
      <c r="D132" s="33" t="s">
        <v>260</v>
      </c>
      <c r="E132" s="23"/>
      <c r="F132" s="24"/>
    </row>
    <row r="133" spans="1:6" ht="12.75">
      <c r="A133" s="25">
        <v>117</v>
      </c>
      <c r="B133" s="37" t="s">
        <v>476</v>
      </c>
      <c r="C133" s="25">
        <v>115</v>
      </c>
      <c r="D133" s="33" t="s">
        <v>261</v>
      </c>
      <c r="E133" s="23"/>
      <c r="F133" s="24"/>
    </row>
    <row r="134" spans="1:6" ht="12.75">
      <c r="A134" s="25">
        <v>118</v>
      </c>
      <c r="B134" s="32" t="s">
        <v>477</v>
      </c>
      <c r="C134" s="25">
        <v>116</v>
      </c>
      <c r="D134" s="33" t="s">
        <v>262</v>
      </c>
      <c r="E134" s="23"/>
      <c r="F134" s="24"/>
    </row>
    <row r="135" spans="1:6" ht="25.5">
      <c r="A135" s="35"/>
      <c r="B135" s="36"/>
      <c r="C135" s="25">
        <v>117</v>
      </c>
      <c r="D135" s="33" t="s">
        <v>263</v>
      </c>
      <c r="E135" s="23"/>
      <c r="F135" s="24"/>
    </row>
    <row r="136" spans="1:6" ht="12.75">
      <c r="A136" s="35"/>
      <c r="B136" s="38" t="s">
        <v>494</v>
      </c>
      <c r="C136" s="25">
        <v>118</v>
      </c>
      <c r="D136" s="29" t="s">
        <v>281</v>
      </c>
      <c r="E136" s="23"/>
      <c r="F136" s="24"/>
    </row>
    <row r="137" spans="1:6" ht="12.75">
      <c r="A137" s="35"/>
      <c r="B137" s="36"/>
      <c r="C137" s="25">
        <v>119</v>
      </c>
      <c r="D137" s="29" t="s">
        <v>282</v>
      </c>
      <c r="E137" s="23"/>
      <c r="F137" s="24"/>
    </row>
    <row r="138" spans="1:6" ht="12.75">
      <c r="A138" s="25">
        <v>119</v>
      </c>
      <c r="B138" s="36" t="s">
        <v>495</v>
      </c>
      <c r="C138" s="25">
        <v>120</v>
      </c>
      <c r="D138" s="29" t="s">
        <v>283</v>
      </c>
      <c r="E138" s="23"/>
      <c r="F138" s="24"/>
    </row>
    <row r="139" spans="1:6" ht="12.75">
      <c r="A139" s="25">
        <v>120</v>
      </c>
      <c r="B139" s="30" t="s">
        <v>385</v>
      </c>
      <c r="C139" s="25">
        <v>121</v>
      </c>
      <c r="D139" s="29" t="s">
        <v>284</v>
      </c>
      <c r="E139" s="23"/>
      <c r="F139" s="24"/>
    </row>
    <row r="140" spans="1:6" ht="12.75">
      <c r="A140" s="25">
        <v>121</v>
      </c>
      <c r="B140" s="30" t="s">
        <v>386</v>
      </c>
      <c r="C140" s="25">
        <v>122</v>
      </c>
      <c r="D140" s="29" t="s">
        <v>297</v>
      </c>
      <c r="E140" s="23"/>
      <c r="F140" s="24"/>
    </row>
    <row r="141" spans="1:6" ht="12.75">
      <c r="A141" s="25">
        <v>122</v>
      </c>
      <c r="B141" s="30" t="s">
        <v>387</v>
      </c>
      <c r="C141" s="25">
        <v>123</v>
      </c>
      <c r="D141" s="29" t="s">
        <v>298</v>
      </c>
      <c r="E141" s="23"/>
      <c r="F141" s="24"/>
    </row>
    <row r="142" spans="1:6" ht="12.75">
      <c r="A142" s="25">
        <v>123</v>
      </c>
      <c r="B142" s="32" t="s">
        <v>388</v>
      </c>
      <c r="C142" s="25">
        <v>124</v>
      </c>
      <c r="D142" s="29" t="s">
        <v>299</v>
      </c>
      <c r="E142" s="23"/>
      <c r="F142" s="24"/>
    </row>
    <row r="143" spans="1:6" ht="12.75">
      <c r="A143" s="25">
        <v>124</v>
      </c>
      <c r="B143" s="32" t="s">
        <v>389</v>
      </c>
      <c r="C143" s="25">
        <v>125</v>
      </c>
      <c r="D143" s="29" t="s">
        <v>300</v>
      </c>
      <c r="E143" s="23"/>
      <c r="F143" s="24"/>
    </row>
    <row r="144" spans="1:6" ht="12.75">
      <c r="A144" s="25">
        <v>125</v>
      </c>
      <c r="B144" s="32" t="s">
        <v>390</v>
      </c>
      <c r="C144" s="25">
        <v>126</v>
      </c>
      <c r="D144" s="29" t="s">
        <v>301</v>
      </c>
      <c r="E144" s="23"/>
      <c r="F144" s="24"/>
    </row>
    <row r="145" spans="1:6" ht="12.75">
      <c r="A145" s="25">
        <v>126</v>
      </c>
      <c r="B145" s="32" t="s">
        <v>391</v>
      </c>
      <c r="C145" s="25">
        <v>127</v>
      </c>
      <c r="D145" s="29" t="s">
        <v>302</v>
      </c>
      <c r="E145" s="23"/>
      <c r="F145" s="24"/>
    </row>
    <row r="146" spans="1:6" ht="12.75">
      <c r="A146" s="25">
        <v>127</v>
      </c>
      <c r="B146" s="32" t="s">
        <v>392</v>
      </c>
      <c r="C146" s="25">
        <v>128</v>
      </c>
      <c r="D146" s="29" t="s">
        <v>303</v>
      </c>
      <c r="E146" s="23"/>
      <c r="F146" s="24"/>
    </row>
    <row r="147" spans="1:6" ht="12.75">
      <c r="A147" s="25">
        <v>128</v>
      </c>
      <c r="B147" s="32" t="s">
        <v>393</v>
      </c>
      <c r="C147" s="25">
        <v>129</v>
      </c>
      <c r="D147" s="29" t="s">
        <v>304</v>
      </c>
      <c r="E147" s="23"/>
      <c r="F147" s="24"/>
    </row>
    <row r="148" spans="1:6" ht="12.75">
      <c r="A148" s="25">
        <v>129</v>
      </c>
      <c r="B148" s="32" t="s">
        <v>394</v>
      </c>
      <c r="C148" s="25">
        <v>130</v>
      </c>
      <c r="D148" s="29" t="s">
        <v>305</v>
      </c>
      <c r="E148" s="23"/>
      <c r="F148" s="24"/>
    </row>
    <row r="149" spans="1:6" ht="12.75">
      <c r="A149" s="25">
        <v>130</v>
      </c>
      <c r="B149" s="30" t="s">
        <v>395</v>
      </c>
      <c r="C149" s="25">
        <v>131</v>
      </c>
      <c r="D149" s="29" t="s">
        <v>306</v>
      </c>
      <c r="E149" s="23"/>
      <c r="F149" s="24"/>
    </row>
    <row r="150" spans="1:6" ht="12.75">
      <c r="A150" s="25">
        <v>131</v>
      </c>
      <c r="B150" s="30" t="s">
        <v>396</v>
      </c>
      <c r="C150" s="25">
        <v>132</v>
      </c>
      <c r="D150" s="29" t="s">
        <v>307</v>
      </c>
      <c r="E150" s="23"/>
      <c r="F150" s="24"/>
    </row>
    <row r="151" spans="1:6" ht="12.75">
      <c r="A151" s="25">
        <v>132</v>
      </c>
      <c r="B151" s="30" t="s">
        <v>397</v>
      </c>
      <c r="C151" s="25">
        <v>133</v>
      </c>
      <c r="D151" s="29" t="s">
        <v>308</v>
      </c>
      <c r="E151" s="23"/>
      <c r="F151" s="24"/>
    </row>
    <row r="152" spans="1:6" ht="12.75">
      <c r="A152" s="35"/>
      <c r="D152" s="33"/>
      <c r="E152" s="23"/>
      <c r="F152" s="24"/>
    </row>
    <row r="153" spans="1:6" ht="25.5">
      <c r="A153" s="35"/>
      <c r="C153" s="25">
        <v>134</v>
      </c>
      <c r="D153" s="27" t="s">
        <v>265</v>
      </c>
      <c r="E153" s="23"/>
      <c r="F153" s="24"/>
    </row>
    <row r="154" spans="1:6" ht="25.5">
      <c r="A154" s="35"/>
      <c r="C154" s="25">
        <v>135</v>
      </c>
      <c r="D154" s="33" t="s">
        <v>266</v>
      </c>
      <c r="E154" s="23"/>
      <c r="F154" s="24"/>
    </row>
    <row r="155" spans="1:6" ht="12.75">
      <c r="A155" s="35"/>
      <c r="B155" s="36"/>
      <c r="C155" s="25">
        <v>136</v>
      </c>
      <c r="D155" s="33" t="s">
        <v>268</v>
      </c>
      <c r="E155" s="23"/>
      <c r="F155" s="24"/>
    </row>
    <row r="156" spans="1:6" ht="12.75">
      <c r="A156" s="35"/>
      <c r="B156" s="36"/>
      <c r="C156" s="25">
        <v>137</v>
      </c>
      <c r="D156" s="33" t="s">
        <v>267</v>
      </c>
      <c r="E156" s="23"/>
      <c r="F156" s="24"/>
    </row>
    <row r="157" spans="1:6" ht="12.75">
      <c r="A157" s="35"/>
      <c r="B157" s="36"/>
      <c r="D157" s="33"/>
      <c r="E157" s="23"/>
      <c r="F157" s="24"/>
    </row>
    <row r="158" spans="1:6" ht="12.75">
      <c r="A158" s="35"/>
      <c r="B158" s="36"/>
      <c r="C158" s="25">
        <v>139</v>
      </c>
      <c r="D158" s="33" t="s">
        <v>454</v>
      </c>
      <c r="E158" s="23"/>
      <c r="F158" s="24"/>
    </row>
    <row r="159" spans="1:6" ht="12.75">
      <c r="A159" s="35"/>
      <c r="B159" s="36"/>
      <c r="C159" s="25">
        <v>140</v>
      </c>
      <c r="D159" s="33" t="s">
        <v>455</v>
      </c>
      <c r="E159" s="23"/>
      <c r="F159" s="24"/>
    </row>
    <row r="160" spans="1:6" ht="12.75">
      <c r="A160" s="35"/>
      <c r="B160" s="36"/>
      <c r="C160" s="25">
        <v>141</v>
      </c>
      <c r="D160" s="33" t="s">
        <v>456</v>
      </c>
      <c r="E160" s="23"/>
      <c r="F160" s="24"/>
    </row>
    <row r="161" spans="1:6" ht="12.75">
      <c r="A161" s="35"/>
      <c r="B161" s="36"/>
      <c r="C161" s="25">
        <v>142</v>
      </c>
      <c r="D161" s="33" t="s">
        <v>457</v>
      </c>
      <c r="E161" s="23"/>
      <c r="F161" s="24"/>
    </row>
    <row r="162" spans="1:6" ht="12.75">
      <c r="A162" s="35"/>
      <c r="B162" s="36"/>
      <c r="C162" s="25">
        <v>143</v>
      </c>
      <c r="D162" s="33" t="s">
        <v>458</v>
      </c>
      <c r="E162" s="23"/>
      <c r="F162" s="24"/>
    </row>
    <row r="163" spans="1:6" ht="12.75">
      <c r="A163" s="35"/>
      <c r="B163" s="36"/>
      <c r="C163" s="25">
        <v>144</v>
      </c>
      <c r="D163" s="33" t="s">
        <v>459</v>
      </c>
      <c r="E163" s="23"/>
      <c r="F163" s="24"/>
    </row>
    <row r="164" spans="1:6" ht="12.75">
      <c r="A164" s="39"/>
      <c r="B164" s="40"/>
      <c r="C164" s="41"/>
      <c r="D164" s="42"/>
      <c r="E164" s="43"/>
      <c r="F164" s="44"/>
    </row>
    <row r="215" ht="14.25" customHeight="1"/>
    <row r="216" ht="14.25" customHeight="1"/>
    <row r="220" spans="11:12" ht="12.75">
      <c r="K220" s="9"/>
      <c r="L220" s="9"/>
    </row>
    <row r="274" ht="12.75">
      <c r="L274" s="8"/>
    </row>
    <row r="275" ht="12.75">
      <c r="H275" s="2"/>
    </row>
    <row r="276" ht="12.75">
      <c r="H276" s="3"/>
    </row>
    <row r="277" ht="12.75">
      <c r="H277" s="3"/>
    </row>
    <row r="278" ht="12.75">
      <c r="H278" s="3"/>
    </row>
    <row r="279" ht="12.75">
      <c r="H279" s="3"/>
    </row>
    <row r="280" ht="12.75">
      <c r="H280" s="3"/>
    </row>
    <row r="281" ht="12.75">
      <c r="H281" s="3"/>
    </row>
    <row r="282" ht="12.75">
      <c r="H282" s="3"/>
    </row>
    <row r="283" ht="12.75">
      <c r="H283" s="3"/>
    </row>
    <row r="284" ht="12.75">
      <c r="H284" s="3"/>
    </row>
    <row r="285" ht="12.75">
      <c r="H285" s="3"/>
    </row>
    <row r="286" ht="12.75">
      <c r="H286" s="3"/>
    </row>
    <row r="288" spans="2:9" ht="12.75">
      <c r="B288" s="12"/>
      <c r="H288" s="4"/>
      <c r="I288" s="5"/>
    </row>
    <row r="289" spans="8:9" ht="12.75">
      <c r="H289" s="5"/>
      <c r="I289" s="5"/>
    </row>
    <row r="290" spans="8:9" ht="12.75">
      <c r="H290" s="5"/>
      <c r="I290" s="6"/>
    </row>
    <row r="291" spans="8:9" ht="12.75">
      <c r="H291" s="5"/>
      <c r="I291" s="6"/>
    </row>
    <row r="292" spans="8:9" ht="12.75">
      <c r="H292" s="5"/>
      <c r="I292" s="6"/>
    </row>
    <row r="293" spans="8:10" ht="12.75">
      <c r="H293" s="4"/>
      <c r="I293" s="5"/>
      <c r="J293" s="5"/>
    </row>
    <row r="294" spans="8:10" ht="12.75">
      <c r="H294" s="4"/>
      <c r="I294" s="6"/>
      <c r="J294" s="6"/>
    </row>
    <row r="295" spans="8:10" ht="12.75">
      <c r="H295" s="4"/>
      <c r="I295" s="6"/>
      <c r="J295" s="6"/>
    </row>
    <row r="296" spans="8:10" ht="12.75">
      <c r="H296" s="4"/>
      <c r="I296" s="6"/>
      <c r="J296" s="6"/>
    </row>
    <row r="298" ht="12.75">
      <c r="H298" s="1"/>
    </row>
    <row r="301" ht="12.75"/>
    <row r="302" ht="15">
      <c r="H302" s="7"/>
    </row>
    <row r="303" ht="15">
      <c r="H303" s="7"/>
    </row>
    <row r="304" ht="15">
      <c r="H304" s="7"/>
    </row>
  </sheetData>
  <sheetProtection/>
  <mergeCells count="1">
    <mergeCell ref="A1:D1"/>
  </mergeCells>
  <printOptions/>
  <pageMargins left="0.29" right="0.2" top="0.23" bottom="0.25" header="0.2" footer="0.18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Wellcom</dc:creator>
  <cp:keywords/>
  <dc:description/>
  <cp:lastModifiedBy>Чернова Оксана Геннадьевна</cp:lastModifiedBy>
  <cp:lastPrinted>2011-04-05T04:59:46Z</cp:lastPrinted>
  <dcterms:created xsi:type="dcterms:W3CDTF">2003-01-28T12:33:10Z</dcterms:created>
  <dcterms:modified xsi:type="dcterms:W3CDTF">2015-12-30T02:09:44Z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