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96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96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6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6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6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6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6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6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<sst xmlns="http://schemas.openxmlformats.org/spreadsheetml/2006/main" count="1167" uniqueCount="957">
  <si>
    <t xml:space="preserve">Утепление покрытий плитами: из минеральной ваты или перлита на битумной мастике в один слой (насухо),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92%=120%*(0.9*0.85) от ФОТ
СП 44%=65%*(0.85*0.8) от ФОТ
 </t>
  </si>
  <si>
    <t>829,21
622,57</t>
  </si>
  <si>
    <t>206,64
11,61</t>
  </si>
  <si>
    <t xml:space="preserve">12.31. Утепление покрытий плитами: из минеральной ваты или перлита на битумной мастике: ОЗП=16,45; ЭМ=9,01; ЗПМ=16,45; МАТ=6,8
 </t>
  </si>
  <si>
    <t>12245
1250</t>
  </si>
  <si>
    <t>65,4638
0,8594</t>
  </si>
  <si>
    <t>430,75
5,65</t>
  </si>
  <si>
    <t>ФЕР12-01-013-04, прим.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</si>
  <si>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 (насухо), 100 м2 утепляемого покрытия
(ПЗ=2 (ОЗП=2; ЭМ=2 к расх.; ЗПМ=2; МАТ=0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92%=120%*(0.9*0.85) от ФОТ
СП 44%=65%*(0.85*0.8) от ФОТ
 </t>
  </si>
  <si>
    <t>1359,51
964,05</t>
  </si>
  <si>
    <t>395,47
23,22</t>
  </si>
  <si>
    <t>23444
2517</t>
  </si>
  <si>
    <t>101,3725
1,7188</t>
  </si>
  <si>
    <t>667,03
11,31</t>
  </si>
  <si>
    <t xml:space="preserve">Утепление покрытий плитами:доп.слой, 100 м2 утепляемого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92%=120%*(0.9*0.85) от ФОТ
СП 44%=65%*(0.85*0.8) от ФОТ
 </t>
  </si>
  <si>
    <t>4636,55
482,02</t>
  </si>
  <si>
    <t>197,73
11,61</t>
  </si>
  <si>
    <t>2478
263</t>
  </si>
  <si>
    <t>50,6862
0,8594</t>
  </si>
  <si>
    <t>70,45
1,19</t>
  </si>
  <si>
    <t>ФЕРр53-21-14
--------------------
Приказ Минстроя РФ от 30.01.14 №31/пр</t>
  </si>
  <si>
    <t xml:space="preserve">Устройство чеканки и расшивка швов цокольных панелей с внутренней стороны раствором, 100 м восстановленной герметизации стыков
(МДС35 пр.1 т.3 п.11.2.Ремонт сложных кровель ОЗП=1,25; ЭМ=1,25 к расх.; ЗПМ=1,25; ТЗ=1,25; ТЗМ=1,25)
НР 73%=86%*0.85 от ФОТ
СП 56%=70%*0.8 от ФОТ
 </t>
  </si>
  <si>
    <t>171,51
152,4</t>
  </si>
  <si>
    <t xml:space="preserve">79.51 Устройство чеканки и расшивка швов цокольных панелей с внутренней стороны раствором: ОЗП=16,45; ЭМ=11,43; ЗПМ=16,45; МАТ=5,66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</si>
  <si>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</si>
  <si>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</si>
  <si>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1072,37
45,77</t>
  </si>
  <si>
    <t>19,45
1,69</t>
  </si>
  <si>
    <t xml:space="preserve">10.54. Укладка ходовых досок: ОЗП=16,45; ЭМ=10,88; ЗПМ=16,45; МАТ=5,34
 </t>
  </si>
  <si>
    <t>392
49</t>
  </si>
  <si>
    <t>5,4625
0,125</t>
  </si>
  <si>
    <t>10,05
0,23</t>
  </si>
  <si>
    <t>ФЕР09-06-001-02
--------------------
Приказ Минстроя РФ от 30.01.14 №31/пр</t>
  </si>
  <si>
    <t xml:space="preserve">Монтаж: лотков, решеток, затворов из полосовой и тонколистовой стали,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69%=90%*(0.9*0.85) от ФОТ
СП 58%=85%*(0.85*0.8) от ФОТ
 </t>
  </si>
  <si>
    <t>912,44
622,78</t>
  </si>
  <si>
    <t>207,69
2,53</t>
  </si>
  <si>
    <t xml:space="preserve">9.75 Монтаж дверей, люков, подвесных путей из полосовой стали и труб; лотков решеток, стеллажей из стали различного профиля: ОЗП=16,45; ЭМ=8,39; ЗПМ=16,45; МАТ=5,35
 </t>
  </si>
  <si>
    <t>73,0106
0,1875</t>
  </si>
  <si>
    <t>2,19
0,01</t>
  </si>
  <si>
    <t>Металлпрофиль</t>
  </si>
  <si>
    <t xml:space="preserve">Переходный мостик 2500/1,18/5,58, шт
 </t>
  </si>
  <si>
    <t>ФЕР10-01-039-05
--------------------
Приказ Минстроя России от 12.11.14 №703/пр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</si>
  <si>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</si>
  <si>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53110,58
1479,66</t>
  </si>
  <si>
    <t>1570,63
204,41</t>
  </si>
  <si>
    <t xml:space="preserve">10.95. Установка люков в перекрытиях: ОЗП=16,45; ЭМ=11,88; ЗПМ=16,45; МАТ=8,17
 </t>
  </si>
  <si>
    <t>190
33</t>
  </si>
  <si>
    <t>174,9006
15,1406</t>
  </si>
  <si>
    <t>1,75
0,15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</si>
  <si>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</si>
  <si>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</si>
  <si>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МАТ=8,263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</si>
  <si>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</si>
  <si>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</si>
  <si>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МАТ=7,063
 </t>
  </si>
  <si>
    <t>ФЕРр58-15-1
--------------------
Приказ Минстроя РФ от 30.01.14 №31/пр</t>
  </si>
  <si>
    <t xml:space="preserve">Перенавеска водосточных труб: с земли, лестниц или подмостей, 100 м труб
(МДС35 пр.1 т.3 п.11.2.Ремонт сложных кровель ОЗП=1,25; ЭМ=1,25 к расх.; ЗПМ=1,25; ТЗ=1,25; ТЗМ=1,25)
НР 71%=83%*0.85 от ФОТ
СП 52%=65%*0.8 от ФОТ
 </t>
  </si>
  <si>
    <t>660,35
652,33</t>
  </si>
  <si>
    <t xml:space="preserve">84.42 Перенавеска водосточных труб: ОЗП=16,45; МАТ=3,39
 </t>
  </si>
  <si>
    <t xml:space="preserve">Разборка мелких покрытий и обделок из листовой стали: водосточных труб с земли и подмостей, 100 м труб и покрытий
(МДС35 пр.1 т.3 п.11.2.Ремонт сложных кровель ОЗП=1,25; ЭМ=1,25 к расх.; ЗПМ=1,25; ТЗ=1,25; ТЗМ=1,25)
НР 71%=83%*0.85 от ФОТ
СП 52%=65%*0.8 от ФОТ
 </t>
  </si>
  <si>
    <t>110,68
110,68</t>
  </si>
  <si>
    <t>ФССЦ-301-1104
--------------------
Приказ Минстроя России от 12.11.14 №703/пр</t>
  </si>
  <si>
    <t xml:space="preserve">Воронка водосточная: из оцинкованной стали толщиной 0,55 диаметром 215 мм, шт.
 </t>
  </si>
  <si>
    <t xml:space="preserve">Воронка водосточная из оцинкованной стали толщиной 0,55 диаметром 215 мм; МАТ=2,998
 </t>
  </si>
  <si>
    <t>ФССЦ-201-1101
--------------------
Приказ Минстроя России от 12.11.14 №703/пр</t>
  </si>
  <si>
    <t xml:space="preserve">Звенья водосточных труб из оцинкованной стали толщиной 0,55 мм, диаметром 140 мм, марка ТВ-140, м
 </t>
  </si>
  <si>
    <t xml:space="preserve">Звенья водосточных труб из оцинкованной стали толщиной 0,55 мм, диаметром 140 мм, марка ТВ-140; МАТ=2,653
 </t>
  </si>
  <si>
    <t>ФССЦ-201-1102
--------------------
Приказ Минстроя России от 12.11.14 №703/пр</t>
  </si>
  <si>
    <t xml:space="preserve">Колено из оцинкованной стали толщиной 0,55 мм, диаметром 140 мм, марка ТВ-140, шт.
 </t>
  </si>
  <si>
    <t xml:space="preserve">Колено из оцинкованной стали толщиной 0,55 мм, диаметром 140 мм, марка ТВ-140; МАТ=4,013
 </t>
  </si>
  <si>
    <t>ФССЦ-201-1103
--------------------
Приказ Минстроя России от 12.11.14 №703/пр</t>
  </si>
  <si>
    <t xml:space="preserve">Отливы (отметы) из оцинкованной стали толщиной 0,55 мм диаметром 140 мм, шт.
 </t>
  </si>
  <si>
    <t xml:space="preserve">Отливы (отметы) из оцинкованной стали толщиной 0,55 мм диаметром 140 мм; МАТ=3,9
 </t>
  </si>
  <si>
    <t>4417
250</t>
  </si>
  <si>
    <t>1395,59
18,54</t>
  </si>
  <si>
    <t>40204
4112</t>
  </si>
  <si>
    <t>Итоги по разделу 4 Утепление перекрытий :</t>
  </si>
  <si>
    <t>1168,23
18,15</t>
  </si>
  <si>
    <t>11,8
0,38</t>
  </si>
  <si>
    <t xml:space="preserve">  Итого по разделу 4 Утепление перекрытий</t>
  </si>
  <si>
    <t xml:space="preserve">                           Раздел 5. ПЕревозки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</si>
  <si>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</si>
  <si>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</si>
  <si>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</si>
  <si>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ФССЦпг03-01-01-100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</si>
  <si>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</si>
  <si>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км.: I класс груза; ЭМ=10,58
 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</si>
  <si>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</si>
  <si>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</si>
  <si>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ЭМ=11,42
 </t>
  </si>
  <si>
    <t>ФССЦпг03-02-04-100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</si>
  <si>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</si>
  <si>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ЭМ=11,42
 </t>
  </si>
  <si>
    <t>Итоги по разделу 5 ПЕревозки :</t>
  </si>
  <si>
    <t xml:space="preserve">  Итого по разделу 5 ПЕревозки</t>
  </si>
  <si>
    <t>Итого прямые затраты по смете в ценах 2001г.</t>
  </si>
  <si>
    <t>43664
1848</t>
  </si>
  <si>
    <t>6874,96
144,14</t>
  </si>
  <si>
    <t>Итого прямые затраты по смете с учетом индексов, в текущих ценах</t>
  </si>
  <si>
    <t>471333
30400</t>
  </si>
  <si>
    <t>Итоги по смете:</t>
  </si>
  <si>
    <t>229,29
16,33</t>
  </si>
  <si>
    <t>286,09
32,44</t>
  </si>
  <si>
    <t>508,69
4,12</t>
  </si>
  <si>
    <t>110,02
3,12</t>
  </si>
  <si>
    <t>370,53
25,54</t>
  </si>
  <si>
    <t>1953,05
7,82</t>
  </si>
  <si>
    <t>825,99
6,91</t>
  </si>
  <si>
    <t>1813
32,81</t>
  </si>
  <si>
    <t xml:space="preserve">  ВСЕГО по смете</t>
  </si>
  <si>
    <t>ЛОКАЛЬНЫЙ СМЕТНЫЙ РАСЧЕТ №  02-01-01</t>
  </si>
  <si>
    <t>Капитальный ремонт многоквартирного дома, расположенного по адресу: Томская область, г.Асино, ул.Партизанская, дом №40. Капитальный ремонт крыши (переустройство плоской в скатную)</t>
  </si>
  <si>
    <t>на   Капитальный ремонт крыши (переустройство плоской в скатную)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</si>
  <si>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</si>
  <si>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</si>
  <si>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</si>
  <si>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 xml:space="preserve">Устройство: карнизов,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</si>
  <si>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5892,08
1753,45</t>
  </si>
  <si>
    <t xml:space="preserve">10.12. Устройство карнизов: ОЗП=16,45; ЭМ=11,36; ЗПМ=16,45;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</si>
  <si>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</si>
  <si>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</si>
  <si>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МАТ=9,396
 </t>
  </si>
  <si>
    <t>ФССЦ-102-0052
--------------------
Приказ Минстроя России от 12.11.14 №703/пр</t>
  </si>
  <si>
    <t xml:space="preserve">Доски обрезные хвойных пород длиной: 4-6,5 м, шириной 75-150 мм, толщиной 25 мм, II сорта, м3
 </t>
  </si>
  <si>
    <t xml:space="preserve">Доски обрезные хвойных пород длиной: 4-6,5 м, шириной 75-150 мм, толщиной 25 мм, II сорта; МАТ=3,99
 </t>
  </si>
  <si>
    <t>ФЕР10-01-022-06
--------------------
Приказ Минстроя РФ от 30.01.14 №31/пр</t>
  </si>
  <si>
    <t xml:space="preserve">Подшивка карнизов: сталью кровельной оцинкованной по дереву, 100 м2 потолка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</si>
  <si>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5050,95
292,43</t>
  </si>
  <si>
    <t xml:space="preserve">10.52. Подшивка потолков: сталью кровельной оцинкованной по дереву: ОЗП=16,45; ЭМ=11,42; ЗПМ=16,45; МАТ=3,7
 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</si>
  <si>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</si>
  <si>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</si>
  <si>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 xml:space="preserve">Сталь оцинкованная листовая толщиной листа 0,5 мм; МАТ=3,707
 </t>
  </si>
  <si>
    <t>ФССЦ-101-3849
--------------------
Приказ Минстроя России от 12.11.14 №703/пр</t>
  </si>
  <si>
    <t xml:space="preserve">Профилированный настил оцинкованный: С10-1000-0,6, т
 </t>
  </si>
  <si>
    <t>0,539616
(87,6*1,1*5,6)/1000</t>
  </si>
  <si>
    <t xml:space="preserve">Профилированный настил оцинкованный: С10-1000-0,6; МАТ=3,862
 </t>
  </si>
  <si>
    <t xml:space="preserve">                                   Фронтон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</si>
  <si>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</si>
  <si>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</si>
  <si>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5640,85
833,81</t>
  </si>
  <si>
    <t xml:space="preserve">10.11. Устройство фронтонов: ОЗП=16,45; ЭМ=11,4; ЗПМ=16,45; МАТ=7,31
 </t>
  </si>
  <si>
    <t>ФССЦ-102-0060
--------------------
Приказ Минстроя России от 12.11.14 №703/пр</t>
  </si>
  <si>
    <t xml:space="preserve">Доски обрезные хвойных пород длиной: 4-6,5 м, шириной 75-150 мм, толщиной 44 мм и более, II сорта, м3
 </t>
  </si>
  <si>
    <t xml:space="preserve">Доски обрезные хвойных пород длиной 4-6,5 м, шириной 75-150 мм, толщиной 44 мм и более, II сорта; МАТ=4,156
 </t>
  </si>
  <si>
    <t xml:space="preserve">Подшивка фронтонов: сталью кровельной оцинкованной по дереву, 100 м2 потолка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</si>
  <si>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0,115192
(18,7*1,1*5,6)/1000</t>
  </si>
  <si>
    <t>ФССЦ-101-2404
--------------------
Приказ Минстроя России от 12.11.14 №703/пр</t>
  </si>
  <si>
    <t xml:space="preserve">Угол наружный, внутренний из оцинкованной стали с полимерным покрытием, п.м
 </t>
  </si>
  <si>
    <t xml:space="preserve">Угол наружный, внутренний из оцинкованной стали с полимерным покрытием; МАТ=6,968
 </t>
  </si>
  <si>
    <t>ФЕР10-01-059-01
--------------------
Приказ Минстроя РФ от 30.01.14 №31/пр</t>
  </si>
  <si>
    <t xml:space="preserve">Установка  створок фрамужных,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</si>
  <si>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2920,65
866,38</t>
  </si>
  <si>
    <t>420,92
36,5</t>
  </si>
  <si>
    <t xml:space="preserve">10.131 Установка штучных изделий: ОЗП=16,45; ЭМ=10,57; ЗПМ=16,45; МАТ=2,33
 </t>
  </si>
  <si>
    <t>108,0281
2,7031</t>
  </si>
  <si>
    <t>1,08
0,03</t>
  </si>
  <si>
    <t>ФССЦ-203-0267
--------------------
Приказ Минстроя России от 12.11.14 №703/пр</t>
  </si>
  <si>
    <t xml:space="preserve">Створки фрамужные площадь: 0,4-0,6 м2, м2
 </t>
  </si>
  <si>
    <t xml:space="preserve">Створки фрамужные:  пл. 0.4-0.6 м2; МАТ=6,633
 </t>
  </si>
  <si>
    <t xml:space="preserve">                                   Вентиляционные каналы</t>
  </si>
  <si>
    <t>ФЕР08-02-001-09
--------------------
Приказ Минстроя РФ от 30.01.14 №31/пр</t>
  </si>
  <si>
    <t xml:space="preserve">Кладка стен приямков и каналов, 1 м3 кладки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93%=122%*(0.9*0.85) от ФОТ
СП 54%=80%*(0.85*0.8) от ФОТ
 </t>
  </si>
  <si>
    <t>956,48
84,57</t>
  </si>
  <si>
    <t>48,59
7,59</t>
  </si>
  <si>
    <t xml:space="preserve">8.14. Кладка стен из кирпича: ОЗП=16,45; ЭМ=12,02; ЗПМ=16,45; МАТ=4,63
 </t>
  </si>
  <si>
    <t>6419
1365</t>
  </si>
  <si>
    <t>10,1775
0,5625</t>
  </si>
  <si>
    <t>111,95
6,19</t>
  </si>
  <si>
    <t>ФЕР26-01-036-01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</si>
  <si>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77%=100%*(0.9*0.85) от ФОТ
СП 48%=70%*(0.85*0.8) от ФОТ
 </t>
  </si>
  <si>
    <t>310,33
190,22</t>
  </si>
  <si>
    <t>14,66
0,64</t>
  </si>
  <si>
    <t xml:space="preserve"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
 </t>
  </si>
  <si>
    <t>131
16</t>
  </si>
  <si>
    <t>23,0862
0,0469</t>
  </si>
  <si>
    <t>21,29
0,04</t>
  </si>
  <si>
    <t>ТССЦ-104-9100-91004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</si>
  <si>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</si>
  <si>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 xml:space="preserve">; МАТ=5,58
 </t>
  </si>
  <si>
    <t>ФЕР15-02-016-01
--------------------
Приказ Минстроя России от 12.11.14 №703/пр</t>
  </si>
  <si>
    <t xml:space="preserve">Штукатурка поверхностей внутри здания цементно-известковым или цементным раствором по камню и бетону: простая стен, 100 м2 оштукатуриваемой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80%=105%*(0.9*0.85) от ФОТ
СП 37%=55%*(0.85*0.8) от ФОТ
 </t>
  </si>
  <si>
    <t>1999,13
983,08</t>
  </si>
  <si>
    <t>150,78
88,97</t>
  </si>
  <si>
    <t xml:space="preserve">15.85 Оштукатуривание поверхностей цементно-известковым или цементным раствором: ОЗП=16,45; ЭМ=10,62; ЗПМ=16,45; МАТ=6,27
 </t>
  </si>
  <si>
    <t>1476
1349</t>
  </si>
  <si>
    <t>108,3875
9,4844</t>
  </si>
  <si>
    <t>99,93
8,74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</si>
  <si>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</si>
  <si>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77%=100%*(0.9*0.85) от ФОТ
СП 48%=70%*(0.85*0.8) от ФОТ
 </t>
  </si>
  <si>
    <t>1880,88
397,2</t>
  </si>
  <si>
    <t xml:space="preserve">26.71 Обертывание поверхности изоляции рулонными материалами насухо с проклейкой швов: ОЗП=16,45; ЭМ=10,4; ЗПМ=16,45; МАТ=9,73
 </t>
  </si>
  <si>
    <t>ФССЦ-101-1794
--------------------
Приказ Минстроя России от 12.11.14 №703/пр</t>
  </si>
  <si>
    <t xml:space="preserve">Бризол, 1000 м2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 </t>
  </si>
  <si>
    <t xml:space="preserve">Бризол; МАТ=11,969
 </t>
  </si>
  <si>
    <t>ФССЦ-104-0077
--------------------
Приказ Минстроя России от 12.11.14 №703/пр</t>
  </si>
  <si>
    <t xml:space="preserve">Стеклопластик рулонный марки: РСТ-А-Л-В, 1000 м2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 </t>
  </si>
  <si>
    <t xml:space="preserve">Стеклопластик рулонный марки:РСТ-А-Л-В; МАТ=1,537
 </t>
  </si>
  <si>
    <t>ФЕР26-01-053-01
--------------------
Приказ Минстроя РФ от 30.01.14 №31/пр</t>
  </si>
  <si>
    <t xml:space="preserve">Покрытие изоляции плоских (криволинейных) поверхностей листовым металлом с заготовкой покрытия,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77%=100%*(0.9*0.85) от ФОТ
СП 48%=70%*(0.85*0.8) от ФОТ
 </t>
  </si>
  <si>
    <t>11238,7
1819,47</t>
  </si>
  <si>
    <t xml:space="preserve">26.69 Покрытие изоляции плоских (криволинейных) поверхностей листовым металлом с заготовкой покрытия: ОЗП=16,45; ЭМ=8; ЗПМ=16,45; МАТ=3,7
 </t>
  </si>
  <si>
    <t>ФССЦ-101-1876
--------------------
Приказ Минстроя России от 12.11.14 №703/пр</t>
  </si>
  <si>
    <t xml:space="preserve">Сталь листовая оцинкованная толщиной листа: 0,8 мм, т
 </t>
  </si>
  <si>
    <t xml:space="preserve">Сталь листовая оцинкованная толщиной листа:0,8 мм; МАТ=3,713
 </t>
  </si>
  <si>
    <t>ФССЦ-101-3741
--------------------
Приказ Минстроя России от 12.11.14 №703/пр</t>
  </si>
  <si>
    <t xml:space="preserve">Сталь листовая оцинкованная толщиной листа: 0,55 мм, т
 </t>
  </si>
  <si>
    <t>0,164212
4,52*34,6*1,05/1000</t>
  </si>
  <si>
    <t xml:space="preserve">Сталь листовая оцинкованная толщиной листа: 0,55 мм; МАТ=3,919
 </t>
  </si>
  <si>
    <t xml:space="preserve">                                   Утепление фановых труб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</si>
  <si>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</si>
  <si>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98%=128%*(0.9*0.85) от ФОТ
СП 56%=83%*(0.85*0.8) от ФОТ
 </t>
  </si>
  <si>
    <t>8055,53
878,41</t>
  </si>
  <si>
    <t>10,28
1,06</t>
  </si>
  <si>
    <t xml:space="preserve">16.103 Прокладка трубопроводов канализации из полиэтиленовых труб высокой плотности диаметром: 100 мм: ОЗП=16,45; ЭМ=11,41; ЗПМ=16,45; МАТ=3,14
 </t>
  </si>
  <si>
    <t>88,55
0,0781</t>
  </si>
  <si>
    <t>23,91
0,02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</si>
  <si>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</si>
  <si>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77%=100%*(0.9*0.85) от ФОТ
СП 48%=70%*(0.85*0.8) от ФОТ
 </t>
  </si>
  <si>
    <t>1674,73
264,47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</si>
  <si>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</si>
  <si>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</si>
  <si>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</si>
  <si>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МАТ=3,423
 </t>
  </si>
  <si>
    <t>ФССЦ-104-0530
--------------------
Приказ Минстроя России от 12.11.14 №703/пр</t>
  </si>
  <si>
    <t xml:space="preserve">Маты теплоизоляционные из стекловолокна URSA, марки: М-15-9000-1200-100  64,28/0,05/520,94=2,468, м3
 </t>
  </si>
  <si>
    <t>1,03
1*1,03</t>
  </si>
  <si>
    <t xml:space="preserve">ТССЦ-104-9242-90005   64,28/0,05/520,94; МАТ=2,468
 </t>
  </si>
  <si>
    <t xml:space="preserve">Бризол, 1000 м2
 </t>
  </si>
  <si>
    <t xml:space="preserve">Стеклопластик рулонный марки: РСТ-А-Л-В, 1000 м2
 </t>
  </si>
  <si>
    <t>ФЕР26-01-055-01
--------------------
Приказ Минстроя РФ от 30.01.14 №31/пр</t>
  </si>
  <si>
    <t xml:space="preserve">Установка пароизоляционного слоя из: пленки полиэтиленовой,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77%=100%*(0.9*0.85) от ФОТ
СП 48%=70%*(0.85*0.8) от ФОТ
 </t>
  </si>
  <si>
    <t>9615,3
1205,37</t>
  </si>
  <si>
    <t xml:space="preserve">26.74 Установка пароизоляционного слоя из пленки полиэтиленовой: ОЗП=16,45; ЭМ=11,42; ЗПМ=16,45; МАТ=1,92
 </t>
  </si>
  <si>
    <t>ФССЦ-113-0307
--------------------
Приказ Минстроя России от 12.11.14 №703/пр</t>
  </si>
  <si>
    <t xml:space="preserve">Пленка полиэтиленовая толщиной: 0,2-0,5 мм, т
 </t>
  </si>
  <si>
    <t xml:space="preserve">Пленка полиэтиленовая толщиной 0,2-0,5 мм; МАТ=2,485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</si>
  <si>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</si>
  <si>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</si>
  <si>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ТССЦ-104-9221-90002 13,6/27,5/10м2=4,95; МАТ=4,95
 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</si>
  <si>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</si>
  <si>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77%=100%*(0.9*0.85) от ФОТ
СП 48%=70%*(0.85*0.8) от ФОТ
 </t>
  </si>
  <si>
    <t>16320,18
2083,74</t>
  </si>
  <si>
    <t xml:space="preserve">26.63 Покрытие поверхности изоляции трубопроводов: сталью оцинкованной: ОЗП=16,45; ЭМ=7,81; ЗПМ=16,45; МАТ=4,07
 </t>
  </si>
  <si>
    <t>ФССЦ-104-0167
--------------------
Приказ Минстроя России от 12.11.14 №703/пр</t>
  </si>
  <si>
    <t xml:space="preserve">Детали защитных покрытий конструкций тепловой изоляции трубопроводов: из стали тонколистовой оцинкованной толщиной 0,55 мм, криволинейные, м2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 </t>
  </si>
  <si>
    <t xml:space="preserve">Детали защитных покрытий конструкций тепловой изоляции трубопроводов:из стали тонколистовой оцинкованной толщиной 0,55 мм, криволинейные; МАТ=4,1
 </t>
  </si>
  <si>
    <t xml:space="preserve">                                   Кровля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</si>
  <si>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</si>
  <si>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(МДС35 пр.1 т.3 п.11.2.Ремонт сложных кровель ОЗП=1,25; ЭМ=1,25 к расх.; ЗПМ=1,25; ТЗ=1,25; ТЗМ=1,25)
НР 71%=83%*0.85 от ФОТ
СП 52%=65%*0.8 от ФОТ
 </t>
  </si>
  <si>
    <t>935,18
45,31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</si>
  <si>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</si>
  <si>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</si>
  <si>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</si>
  <si>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</si>
  <si>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ФССЦ-101-7200
--------------------
Приказ Минстроя России от 12.11.14 №703/пр</t>
  </si>
  <si>
    <t xml:space="preserve">ИЗОСПАН: D, 10 м2
 </t>
  </si>
  <si>
    <t xml:space="preserve">ИЗОСПАН: DТССЦ-104-9221-90004 18,33/3,75=4,89; МАТ=4,89
 </t>
  </si>
  <si>
    <t>ФЕР12-01-023-01, применит.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</si>
  <si>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92%=120%*(0.9*0.85) от ФОТ
СП 44%=65%*(0.85*0.8) от ФОТ
 </t>
  </si>
  <si>
    <t>9808,05
478,54</t>
  </si>
  <si>
    <t>180,06
16,67</t>
  </si>
  <si>
    <t xml:space="preserve">12.51. Устройство кровли из металлочерепицы (с отделочным покрытием): ОЗП=16,45; ЭМ=11,1; ЗПМ=16,45; МАТ=3,6
 </t>
  </si>
  <si>
    <t>16373
2254</t>
  </si>
  <si>
    <t>55,3869
1,2344</t>
  </si>
  <si>
    <t>453,67
10,11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</si>
  <si>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</si>
  <si>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</si>
  <si>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</si>
  <si>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</si>
  <si>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</si>
  <si>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7,138457
8,3*819,1*1,05/1000</t>
  </si>
  <si>
    <t xml:space="preserve">Профилированный лист оцинкованный: НС44-1000-0,7; МАТ=4,286
 </t>
  </si>
  <si>
    <t>ТССЦ-101-2410-20007</t>
  </si>
  <si>
    <t xml:space="preserve">Планка примыкания верхняя металлочерепичная оцинкованная, с полимерным покрытием 160.85/5,58, м
 </t>
  </si>
  <si>
    <t>ТССЦ-101-2410-20008</t>
  </si>
  <si>
    <t xml:space="preserve">Планка примыкания нижняя металлочерепичная оцинкованная, с полимерным покрытием 160.85/5,58, м
 </t>
  </si>
  <si>
    <t>0,324199
4,52*68,31*1,05/1000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</si>
  <si>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</si>
  <si>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69%=90%*(0.9*0.85) от ФОТ
СП 58%=85%*(0.85*0.8) от ФОТ
 </t>
  </si>
  <si>
    <t>5,24
4,38</t>
  </si>
  <si>
    <t xml:space="preserve">9.74 Резка стального профилированного настила: ОЗП=16,45; ЭМ=2,22; ЗПМ=16,45
 </t>
  </si>
  <si>
    <t>ФЕР12-01-009-01
--------------------
Приказ Минстроя РФ от 30.01.14 №31/пр</t>
  </si>
  <si>
    <t xml:space="preserve">Устройство желобов: настенных, 100 м желобов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92%=120%*(0.9*0.85) от ФОТ
СП 44%=65%*(0.85*0.8) от ФОТ
 </t>
  </si>
  <si>
    <t>19435,55
1039,2</t>
  </si>
  <si>
    <t>462,73
44,52</t>
  </si>
  <si>
    <t xml:space="preserve">12.26. Устройство желобов: ОЗП=16,45; ЭМ=11,44; ЗПМ=16,45; МАТ=4,06
 </t>
  </si>
  <si>
    <t>6246
872</t>
  </si>
  <si>
    <t>121,8281
3,2969</t>
  </si>
  <si>
    <t>143,76
3,89</t>
  </si>
  <si>
    <t>ФЕР10-01-044-12, применит.
--------------------
Приказ Минстроя РФ от 30.01.14 №31/пр</t>
  </si>
  <si>
    <t xml:space="preserve">Обивка слуховых окон и противопожарной перегородки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</si>
  <si>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9038,48
937,08</t>
  </si>
  <si>
    <t>27,23
1,48</t>
  </si>
  <si>
    <t xml:space="preserve">10.116 Обивка дверей оцинкованной кровельной сталью: по дереву: ОЗП=16,45; ЭМ=11,09; ЗПМ=16,45; МАТ=3,71
 </t>
  </si>
  <si>
    <t>114,6981
0,1094</t>
  </si>
  <si>
    <t>29,82
0,03</t>
  </si>
  <si>
    <t>0,129272
26*4,52*1,1/1000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</si>
  <si>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</si>
  <si>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</si>
  <si>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415,96
81,29</t>
  </si>
  <si>
    <t>34,47
2,33</t>
  </si>
  <si>
    <t xml:space="preserve">10.5. Устройство слуховых окон: ОЗП=16,45; ЭМ=10,98; ЗПМ=16,45; МАТ=5,3
 </t>
  </si>
  <si>
    <t>1131
115</t>
  </si>
  <si>
    <t>9,5306
0,1719</t>
  </si>
  <si>
    <t>28,59
0,52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</si>
  <si>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</si>
  <si>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</si>
  <si>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</si>
  <si>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</si>
  <si>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</si>
  <si>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</si>
  <si>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 xml:space="preserve">Установка элементов каркаса: из брусьев (лестницы к слуховым окнам),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</si>
  <si>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</si>
  <si>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69%=90%*(0.9*0.85) от ФОТ
СП 58%=85%*(0.85*0.8) от ФОТ
 </t>
  </si>
  <si>
    <t>1606,98
437,4</t>
  </si>
  <si>
    <t>1081,08
119,14</t>
  </si>
  <si>
    <t xml:space="preserve">9.35 Монтаж лестниц прямолинейных и криволинейных, пожарных с ограждением: ОЗП=16,45; ЭМ=10,28; ЗПМ=16,45; МАТ=5,25
 </t>
  </si>
  <si>
    <t>1295
230</t>
  </si>
  <si>
    <t>46,5319
8,8125</t>
  </si>
  <si>
    <t>5,41
1,03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</si>
  <si>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</si>
  <si>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</si>
  <si>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</si>
  <si>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69%=90%*(0.9*0.85) от ФОТ
СП 48%=70%*(0.85*0.8) от ФОТ
 </t>
  </si>
  <si>
    <t>681,88
99,88</t>
  </si>
  <si>
    <t>19,44
0,31</t>
  </si>
  <si>
    <t>11,0112
0,0312</t>
  </si>
  <si>
    <t>ФЕР12-01-012-01
--------------------
Приказ Минстроя РФ от 30.01.14 №31/пр</t>
  </si>
  <si>
    <t xml:space="preserve">Монтаж троса,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92%=120%*(0.9*0.85) от ФОТ
СП 44%=65%*(0.85*0.8) от ФОТ
 </t>
  </si>
  <si>
    <t>3204,4
84,96</t>
  </si>
  <si>
    <t>86,53
6,13</t>
  </si>
  <si>
    <t xml:space="preserve">12.29. Ограждение кровель перилами: ОЗП=16,45; ЭМ=9,92; ЗПМ=16,45; МАТ=7,67
 </t>
  </si>
  <si>
    <t>466
49</t>
  </si>
  <si>
    <t>9,5881
0,4531</t>
  </si>
  <si>
    <t>5,18
0,24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</si>
  <si>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</si>
  <si>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</si>
  <si>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</si>
  <si>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92%=120%*(0.9*0.85) от ФОТ
СП 44%=65%*(0.85*0.8) от ФОТ
 </t>
  </si>
  <si>
    <t>794
99</t>
  </si>
  <si>
    <t>8,87
0,42</t>
  </si>
  <si>
    <t xml:space="preserve">Добавить:Конструктивные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</si>
  <si>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5,78
0,02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</si>
  <si>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</si>
  <si>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77%=100%*(0.9*0.85) от ФОТ
СП 48%=70%*(0.85*0.8) от ФОТ
 </t>
  </si>
  <si>
    <t>357,6
176,48</t>
  </si>
  <si>
    <t>179,28
2,53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</si>
  <si>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</si>
  <si>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62820
1300</t>
  </si>
  <si>
    <t>18,5581
0,2188</t>
  </si>
  <si>
    <t>582,72
6,87</t>
  </si>
  <si>
    <t>ФССЦ-113-8072
--------------------
Приказ Минстроя России от 12.11.14 №703/пр</t>
  </si>
  <si>
    <t xml:space="preserve">Антисептик-антипирен «ПИРИЛАКС-ЛЮКС» для древесины  ТССЦ-113-0515-00005 226,68/18,23=12,23, кг
 </t>
  </si>
  <si>
    <t xml:space="preserve">; МАТ=12,23
 </t>
  </si>
  <si>
    <t>ФЕР12-01-011-01
--------------------
Приказ Минстроя РФ от 30.01.14 №31/пр</t>
  </si>
  <si>
    <t xml:space="preserve">Устройство колпаков над шахтами в два канала, 1 колпак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92%=120%*(0.9*0.85) от ФОТ
СП 44%=65%*(0.85*0.8) от ФОТ
 </t>
  </si>
  <si>
    <t>451,82
23,66</t>
  </si>
  <si>
    <t xml:space="preserve">12.28. Устройство колпаков над шахтами: ОЗП=16,45; ЭМ=11,45; ЗПМ=16,45; МАТ=3,67
 </t>
  </si>
  <si>
    <t>16280
992</t>
  </si>
  <si>
    <t>4252,9
76,67</t>
  </si>
  <si>
    <t>177976
16319</t>
  </si>
  <si>
    <t>Итоги по разделу 2 Устройство кровли :</t>
  </si>
  <si>
    <t xml:space="preserve">  Стены (ремонтно-строительные)</t>
  </si>
  <si>
    <t>45,04
3,12</t>
  </si>
  <si>
    <t xml:space="preserve">  Материалы для строительных работ</t>
  </si>
  <si>
    <t xml:space="preserve">  Строительные металлические конструкции</t>
  </si>
  <si>
    <t>356,82
23,2</t>
  </si>
  <si>
    <t xml:space="preserve">  Защита строительных конструкций и оборудования от коррозии</t>
  </si>
  <si>
    <t>16,56
0,05</t>
  </si>
  <si>
    <t xml:space="preserve">  Деревянные конструкции</t>
  </si>
  <si>
    <t>1742,62
7,44</t>
  </si>
  <si>
    <t>336,31
4,12</t>
  </si>
  <si>
    <t xml:space="preserve">  Бетонные и железобетонные монолитные конструкции в промышленном строительстве</t>
  </si>
  <si>
    <t>18,24
0,05</t>
  </si>
  <si>
    <t xml:space="preserve">  Бетонные и железобетонные сборные конструкции в промышленном строительстве</t>
  </si>
  <si>
    <t xml:space="preserve">  Материалы</t>
  </si>
  <si>
    <t xml:space="preserve">  Конструкции из кирпича и блоков</t>
  </si>
  <si>
    <t xml:space="preserve">  Теплоизоляционные работы</t>
  </si>
  <si>
    <t>761,43
6,91</t>
  </si>
  <si>
    <t xml:space="preserve">  Отделочные работы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</si>
  <si>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</si>
  <si>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Кровли</t>
  </si>
  <si>
    <t>644,77
14,66</t>
  </si>
  <si>
    <t xml:space="preserve">  Итого по разделу 2 Устройство кровли</t>
  </si>
  <si>
    <t xml:space="preserve">                           Раздел 3. Противопожарная перегородка</t>
  </si>
  <si>
    <t>ФЕР09-03-012-12
--------------------
Приказ Минстроя России от 12.11.14 №703/пр</t>
  </si>
  <si>
    <t xml:space="preserve">Монтаж опорных стоек для пролетов: до 24 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69%=90%*(0.9*0.85) от ФОТ
СП 58%=85%*(0.85*0.8) от ФОТ
 </t>
  </si>
  <si>
    <t>634,34
84,97</t>
  </si>
  <si>
    <t>428,03
46,73</t>
  </si>
  <si>
    <t xml:space="preserve">9.28 Монтаж стропильных и подстропильных ферм, опорных стоек: ОЗП=16,45; ЭМ=10,56; ЗПМ=16,45; МАТ=5,48
 </t>
  </si>
  <si>
    <t>3231
543</t>
  </si>
  <si>
    <t>9,4731
3,2656</t>
  </si>
  <si>
    <t>6,76
2,33</t>
  </si>
  <si>
    <t>ФССЦ-201-0765
--------------------
Приказ Минстроя России от 12.11.14 №703/пр</t>
  </si>
  <si>
    <t xml:space="preserve">Отдельные конструктивные элементы зданий и сооружений с преобладанием: гнутосварочных профилей и круглых труб, средняя масса сборочной единицы от 0,5 до 1 т, т
 </t>
  </si>
  <si>
    <t xml:space="preserve">Отдельные конструктивные элементы зданий и сооружений с преобладанием:гнутосварочных профилей и круглых труб, средняя масса сборочной единицы от 0,5 до 1 т; МАТ=4,255
 </t>
  </si>
  <si>
    <t>ФССЦ-201-0774
--------------------
Приказ Минстроя России от 12.11.14 №703/пр</t>
  </si>
  <si>
    <t xml:space="preserve">Конструктивные элементы вспомогательного назначения: массой не более 50 кг с преобладанием толстолистовой стали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</si>
  <si>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назначения:массой не более 50 кг с преобладанием толстолистовой стали собираемые из двух и более деталей, с отверстиями и без отверстий, соединяемые на сварке; МАТ=5,397
 </t>
  </si>
  <si>
    <t>ФЕР10-06-032-02, применит.
--------------------
Приказ Минстроя РФ от 30.01.14 №31/пр</t>
  </si>
  <si>
    <t xml:space="preserve">Устройство перегородок из СМЛ  по системе «КНАУФ» с одинарным металлическим каркасом и двухслойной обшивкой с обеих сторон (С 362): с одним дверным проемом, 100 м2 перегородок (за вычетом проемов)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</si>
  <si>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16576,32
1916,6</t>
  </si>
  <si>
    <t xml:space="preserve">10.218 Устройство перегородок из гипсоволокнистых листов (ГВЛ) по системе 'КНАУФ' с одинарным металлическим каркасом и двухслойной обшивкой с обеих сторон: ОЗП=16,45; ЭМ=4,52; ЗПМ=16,45; МАТ=6,09
 </t>
  </si>
  <si>
    <t>ФЕР09-04-013-01
--------------------
Приказ Минстроя РФ от 30.01.14 №31/пр</t>
  </si>
  <si>
    <t xml:space="preserve">Установка противопожарных дверей: однопольных глухих, 1 м2 проема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69%=90%*(0.9*0.85) от ФОТ
СП 58%=85%*(0.85*0.8) от ФОТ
 </t>
  </si>
  <si>
    <t>106,97
30,37</t>
  </si>
  <si>
    <t xml:space="preserve">9.67 Установка противопожарных дверей: ОЗП=16,45; ЭМ=6,36; ЗПМ=16,45; МАТ=4,87
 </t>
  </si>
  <si>
    <t>ФССЦ-203-8122
--------------------
Приказ Минстроя России от 12.11.14 №703/пр</t>
  </si>
  <si>
    <t xml:space="preserve">Дверь противопожарная металлическая: однопольная ДПМ-01/60, размером 900х2100 мм, шт.
 </t>
  </si>
  <si>
    <t xml:space="preserve">Дверь противопожарная металлическая однопольная ДПМ-01/60, размером 900х2100 мм; МАТ=4,137
 </t>
  </si>
  <si>
    <t>ФЕР26-02-002-02
применит.
--------------------
Приказ Минстроя РФ от 30.01.14 №31/пр</t>
  </si>
  <si>
    <t>Огнезащитное покрытие несущих металлоконструкций балок перекрытий, покрытий и ферм составом «Файрекс-400» с пределом огнестойкости: 0,75 часа,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77%=100%*(0.9*0.85) от ФОТ
СП 48%=70%*(0.85*0.8) от ФОТ
_______
применит.</t>
  </si>
  <si>
    <t>59150,13
2230,2</t>
  </si>
  <si>
    <t xml:space="preserve">26.85 Огнезащитное покрытие несущих металлоконструкций балок перекрытий, покрытий и ферм составом 'Файрекс-400': ОЗП=16,45; ЭМ=14,55; ЗПМ=16,45; МАТ=1,48
 </t>
  </si>
  <si>
    <t>ФССЦ-113-0503
--------------------
Приказ Минстроя России от 12.11.14 №703/пр</t>
  </si>
  <si>
    <t xml:space="preserve">Состав огнезащитный: «Файрекс-400», кг
 </t>
  </si>
  <si>
    <t xml:space="preserve">Состав огнезащитный 'Файрекс-400'; МАТ=1,468
 </t>
  </si>
  <si>
    <t>Огнезащита плюс</t>
  </si>
  <si>
    <t xml:space="preserve">Unitfair WB Огнезащитная краска 210/1,18/5.58, кг
 </t>
  </si>
  <si>
    <t>603
33</t>
  </si>
  <si>
    <t>274,71
2,33</t>
  </si>
  <si>
    <t>7039
543</t>
  </si>
  <si>
    <t>Итоги по разделу 3 Противопожарная перегородка :</t>
  </si>
  <si>
    <t>11,52
2,33</t>
  </si>
  <si>
    <t xml:space="preserve">  Итого по разделу 3 Противопожарная перегородка</t>
  </si>
  <si>
    <t xml:space="preserve">                           Раздел 4. Утепление перекрытий</t>
  </si>
  <si>
    <t xml:space="preserve">Устройство покрытия из рулонных материалов: насухо без промазки кромок, 100 м2 кровли
(ПЗ=2 (ОЗП=2; ЭМ=2 к расх.; ЗПМ=2; МАТ=2 к расх.; ТЗ=2; ТЗМ=2);
МДС35 пр.1 т.3 п.11.2.Ремонт сложных кровель ОЗП=1,25; ЭМ=1,25 к расх.; ЗПМ=1,25; ТЗ=1,25; ТЗМ=1,25)
НР 71%=83%*0.85 от ФОТ
СП 52%=65%*0.8 от ФОТ
 </t>
  </si>
  <si>
    <t>1870,36
90,63</t>
  </si>
  <si>
    <t>75,67
65,8*1,15</t>
  </si>
  <si>
    <t>ФССЦ-101-7194
--------------------
Приказ Минстроя России от 12.11.14 №703/пр</t>
  </si>
  <si>
    <t xml:space="preserve">ИЗОСПАН: А, 10 м2
 </t>
  </si>
  <si>
    <t xml:space="preserve">ТССЦ-104-9221-900019,43/39,2/10м2 =4,96; МАТ=4,96
 </t>
  </si>
  <si>
    <t>ФЕР12-01-013-03, прим.
--------------------
Приказ Минстроя РФ от 30.01.14 №31/пр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</si>
  <si>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</si>
  <si>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</si>
  <si>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</si>
  <si>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</si>
  <si>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</si>
  <si>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</si>
  <si>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</si>
  <si>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</si>
  <si>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</si>
  <si>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</si>
  <si>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</si>
  <si>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</si>
  <si>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</si>
  <si>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</si>
  <si>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</si>
  <si>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</si>
  <si>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</si>
  <si>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</si>
  <si>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</si>
  <si>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</si>
  <si>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</si>
  <si>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</si>
  <si>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</si>
  <si>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</si>
  <si>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</si>
  <si>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</si>
  <si>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</si>
  <si>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</si>
  <si>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</si>
  <si>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</si>
  <si>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</si>
  <si>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</si>
  <si>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</si>
  <si>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</si>
  <si>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</si>
  <si>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</si>
  <si>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</si>
  <si>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</si>
  <si>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</si>
  <si>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</si>
  <si>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</si>
  <si>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</si>
  <si>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</si>
  <si>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</si>
  <si>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</si>
  <si>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</si>
  <si>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</si>
  <si>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</si>
  <si>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</si>
  <si>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</si>
  <si>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</si>
  <si>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</si>
  <si>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</si>
  <si>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</si>
  <si>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</si>
  <si>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</si>
  <si>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</si>
  <si>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</si>
  <si>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</si>
  <si>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</si>
  <si>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</si>
  <si>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</si>
  <si>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</si>
  <si>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</si>
  <si>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</si>
  <si>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</si>
  <si>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</si>
  <si>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</si>
  <si>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</si>
  <si>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</si>
  <si>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</si>
  <si>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</si>
  <si>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</si>
  <si>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</si>
  <si>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</si>
  <si>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</si>
  <si>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</si>
  <si>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</si>
  <si>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</si>
  <si>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</si>
  <si>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</si>
  <si>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</si>
  <si>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</si>
  <si>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</si>
  <si>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</si>
  <si>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</si>
  <si>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</si>
  <si>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</si>
  <si>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</si>
  <si>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</si>
  <si>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</si>
  <si>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</si>
  <si>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</si>
  <si>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</si>
  <si>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</si>
  <si>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</si>
  <si>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</si>
  <si>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</si>
  <si>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</si>
  <si>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</si>
  <si>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</si>
  <si>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</si>
  <si>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</si>
  <si>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</si>
  <si>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</si>
  <si>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</si>
  <si>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</si>
  <si>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</si>
  <si>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</si>
  <si>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</si>
  <si>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</si>
  <si>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</si>
  <si>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</si>
  <si>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</si>
  <si>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</si>
  <si>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</si>
  <si>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</si>
  <si>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</si>
  <si>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</si>
  <si>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</si>
  <si>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</si>
  <si>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</si>
  <si>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</si>
  <si>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</si>
  <si>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</si>
  <si>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</si>
  <si>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</si>
  <si>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</si>
  <si>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</si>
  <si>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</si>
  <si>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</si>
  <si>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</si>
  <si>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</si>
  <si>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</si>
  <si>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</si>
  <si>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</si>
  <si>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</si>
  <si>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</si>
  <si>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</si>
  <si>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</si>
  <si>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</si>
  <si>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</si>
  <si>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</si>
  <si>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</si>
  <si>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</si>
  <si>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</si>
  <si>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</si>
  <si>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</si>
  <si>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</si>
  <si>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</si>
  <si>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</si>
  <si>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</si>
  <si>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</si>
  <si>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</si>
  <si>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</si>
  <si>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</si>
  <si>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</si>
  <si>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</si>
  <si>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</si>
  <si>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</si>
  <si>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</si>
  <si>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</si>
  <si>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</si>
  <si>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</si>
  <si>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</si>
  <si>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</si>
  <si>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</si>
  <si>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</si>
  <si>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</si>
  <si>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</si>
  <si>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</si>
  <si>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</si>
  <si>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</si>
  <si>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</si>
  <si>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</si>
  <si>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</si>
  <si>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</si>
  <si>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</si>
  <si>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</si>
  <si>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</si>
  <si>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</si>
  <si>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</si>
  <si>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</si>
  <si>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</si>
  <si>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</si>
  <si>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</si>
  <si>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</si>
  <si>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</si>
  <si>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</si>
  <si>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</si>
  <si>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</si>
  <si>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</si>
  <si>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</si>
  <si>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</si>
  <si>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</si>
  <si>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</si>
  <si>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</si>
  <si>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</si>
  <si>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</si>
  <si>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</si>
  <si>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</si>
  <si>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</si>
  <si>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</si>
  <si>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</si>
  <si>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</si>
  <si>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</si>
  <si>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</si>
  <si>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</si>
  <si>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</si>
  <si>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</si>
  <si>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</si>
  <si>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</si>
  <si>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</si>
  <si>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</si>
  <si>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</si>
  <si>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</si>
  <si>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</si>
  <si>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</si>
  <si>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</si>
  <si>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</si>
  <si>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</si>
  <si>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</si>
  <si>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</si>
  <si>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</si>
  <si>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</si>
  <si>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</si>
  <si>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</si>
  <si>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</si>
  <si>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</si>
  <si>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</si>
  <si>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</si>
  <si>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</si>
  <si>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</si>
  <si>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</si>
  <si>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</si>
  <si>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</si>
  <si>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</si>
  <si>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</si>
  <si>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</si>
  <si>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</si>
  <si>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</si>
  <si>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</si>
  <si>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</si>
  <si>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</si>
  <si>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</si>
  <si>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</si>
  <si>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</si>
  <si>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</si>
  <si>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</si>
  <si>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</si>
  <si>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</si>
  <si>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</si>
  <si>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</si>
  <si>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</si>
  <si>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</si>
  <si>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</si>
  <si>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</si>
  <si>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</si>
  <si>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</si>
  <si>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</si>
  <si>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</si>
  <si>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</si>
  <si>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</si>
  <si>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</si>
  <si>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</si>
  <si>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</si>
  <si>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</si>
  <si>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</si>
  <si>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</si>
  <si>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</si>
  <si>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</si>
  <si>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</si>
  <si>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</si>
  <si>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</si>
  <si>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</si>
  <si>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</si>
  <si>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</si>
  <si>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</si>
  <si>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</si>
  <si>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</si>
  <si>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</si>
  <si>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</si>
  <si>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</si>
  <si>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</si>
  <si>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</si>
  <si>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</si>
  <si>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</si>
  <si>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</si>
  <si>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</si>
  <si>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</si>
  <si>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</si>
  <si>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</si>
  <si>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</si>
  <si>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</si>
  <si>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</si>
  <si>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</si>
  <si>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</si>
  <si>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</si>
  <si>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</si>
  <si>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</si>
  <si>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</si>
  <si>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</si>
  <si>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</si>
  <si>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</si>
  <si>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</si>
  <si>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</si>
  <si>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</si>
  <si>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</si>
  <si>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</si>
  <si>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</si>
  <si>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</si>
  <si>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</si>
  <si>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</si>
  <si>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</si>
  <si>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П-15-50/2-АС</t>
  </si>
  <si>
    <t>Проверил:____________________________</t>
  </si>
  <si>
    <t xml:space="preserve">                           Раздел 1. Демонтажные работы</t>
  </si>
  <si>
    <t>ФЕР46-04-008-01
--------------------
Приказ Минстроя РФ от 30.01.14 №31/пр</t>
  </si>
  <si>
    <t xml:space="preserve">Разборка покрытий кровель: из рулонных материалов, 100 м2 покрытия
НР 84%=110%*(0.9*0.85) от ФОТ
СП 48%=70%*(0.85*0.8) от ФОТ
 </t>
  </si>
  <si>
    <t>153,59
112,16</t>
  </si>
  <si>
    <t xml:space="preserve">46.70 Разборка покрытий кровель: ОЗП=16,45; ЭМ=2,99; ЗПМ=16,45
 </t>
  </si>
  <si>
    <t>ФЕР07-05-030-11
--------------------
Приказ Минстроя РФ от 30.01.14 №31/пр</t>
  </si>
  <si>
    <t xml:space="preserve">Разборка вентканалов жб, 100 шт. сборных конструкций
(ПЗ=0,8 (ОЗП=0,8; ЭМ=0,8 к расх.; ЗПМ=0,8; МАТ=0 к расх.; ТЗ=0,8; ТЗМ=0,8))
НР 119%=155%*(0.9*0.85) от ФОТ
СП 68%=100%*(0.85*0.8) от ФОТ
 </t>
  </si>
  <si>
    <t>1107,1
889,37</t>
  </si>
  <si>
    <t>217,73
34,02</t>
  </si>
  <si>
    <t xml:space="preserve">7.74. Установка плит лоджий, балконов и козырьков, разделительных стенок, экранов ограждений, плит парапета и мелких конструкций: ОЗП=16,45; ЭМ=11,89; ЗПМ=16,45; МАТ=5,75
 </t>
  </si>
  <si>
    <t>238
49</t>
  </si>
  <si>
    <t>98,056
2,52</t>
  </si>
  <si>
    <t>8,83
0,23</t>
  </si>
  <si>
    <t>ФЕР46-04-001-04
--------------------
Приказ Минстроя РФ от 30.01.14 №31/пр</t>
  </si>
  <si>
    <t xml:space="preserve">Разборка: кирпичных стен, 1 м3
НР 84%=110%*(0.9*0.85) от ФОТ
СП 48%=70%*(0.85*0.8) от ФОТ
 </t>
  </si>
  <si>
    <t>14,2
0,7+13,5</t>
  </si>
  <si>
    <t>180,03
73,01</t>
  </si>
  <si>
    <t>107,02
11,57</t>
  </si>
  <si>
    <t xml:space="preserve">46.59 Разборка: кирпичных и мелкоблочных стен: ОЗП=16,45; ЭМ=7,36; ЗПМ=16,45
 </t>
  </si>
  <si>
    <t>11180
2698</t>
  </si>
  <si>
    <t>8,24
1,15</t>
  </si>
  <si>
    <t>117,01
16,33</t>
  </si>
  <si>
    <t>ФЕРр58-3-1
--------------------
Приказ Минстроя РФ от 30.01.14 №31/пр</t>
  </si>
  <si>
    <t xml:space="preserve">Разборка мелких покрытий и обделок из листовой стали: поясков, сандриков, желобов, отливов, свесов и т.п., 100 м труб и покрытий
НР 71%=83%*0.85 от ФОТ
СП 52%=65%*0.8 от ФОТ
 </t>
  </si>
  <si>
    <t>71,18
70,98</t>
  </si>
  <si>
    <t xml:space="preserve">84.3 Разборка мелких покрытий и обделок из листовой стали: ОЗП=16,45; ЭМ=4,75; ЗПМ=16,45
 </t>
  </si>
  <si>
    <t>ФЕРр58-3-2
--------------------
Приказ Минстроя РФ от 30.01.14 №31/пр</t>
  </si>
  <si>
    <t xml:space="preserve">Разборка мелких покрытий и обделок из листовой стали: водосточных труб с земли и подмостей, 100 м труб и покрытий
НР 71%=83%*0.85 от ФОТ
СП 52%=65%*0.8 от ФОТ
 </t>
  </si>
  <si>
    <t>88,54
88,54</t>
  </si>
  <si>
    <t>ФЕР07-05-030-09
--------------------
Приказ Минстроя РФ от 30.01.14 №31/пр</t>
  </si>
  <si>
    <t xml:space="preserve">Разборка  плит парапета массой: до 0,5 т, 100 шт. сборных конструкций
(ПЗ=0,8 (ОЗП=0,8; ЭМ=0,8 к расх.; ЗПМ=0,8; МАТ=0 к расх.; ТЗ=0,8; ТЗМ=0,8))
НР 119%=155%*(0.9*0.85) от ФОТ
СП 68%=100%*(0.85*0.8) от ФОТ
 </t>
  </si>
  <si>
    <t>1306,77
339,95</t>
  </si>
  <si>
    <t>966,82
136,73</t>
  </si>
  <si>
    <t>2758
543</t>
  </si>
  <si>
    <t>37,032
10,128</t>
  </si>
  <si>
    <t>8,89
2,43</t>
  </si>
  <si>
    <t>ФЕР07-05-011-06
--------------------
Приказ Минстроя РФ от 30.01.14 №31/пр</t>
  </si>
  <si>
    <t xml:space="preserve">Разборка панелей перекрытий с опиранием: на 2 стороны площадью до 10 м2, 100 шт. сборных конструкций
(ПЗ=0,8 (ОЗП=0,8; ЭМ=0,8 к расх.; ЗПМ=0,8; МАТ=0 к расх.; ТЗ=0,8; ТЗМ=0,8))
НР 119%=155%*(0.9*0.85) от ФОТ
СП 68%=100%*(0.85*0.8) от ФОТ
 </t>
  </si>
  <si>
    <t>5863,77
2388</t>
  </si>
  <si>
    <t>3475,77
490,43</t>
  </si>
  <si>
    <t xml:space="preserve">7.61. Установка панелей перекрытий: ОЗП=16,45; ЭМ=11,79; ЗПМ=16,45; МАТ=5,85
 </t>
  </si>
  <si>
    <t>31137
6136</t>
  </si>
  <si>
    <t>251,104
36,328</t>
  </si>
  <si>
    <t>190,84
27,61</t>
  </si>
  <si>
    <t>ФЕРр69-9-1
--------------------
Приказ Минстроя РФ от 30.01.14 №31/пр</t>
  </si>
  <si>
    <t xml:space="preserve">Очистка помещений от строительного мусора, 100 т мусора
НР 66%=78%*0.85 от ФОТ
СП 40%=50%*0.8 от ФОТ
 </t>
  </si>
  <si>
    <t>1,576
1,97*0,8</t>
  </si>
  <si>
    <t>1553,82
1553,82</t>
  </si>
  <si>
    <t xml:space="preserve">94.16 Очистка помещений от строительного мусора: ОЗП=16,45
 </t>
  </si>
  <si>
    <t>ФЕРр69-15-1
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</si>
  <si>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</si>
  <si>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</si>
  <si>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94.26 Затаривание строительного мусора в мешки: ОЗП=16,45; МАТ=7,38
 </t>
  </si>
  <si>
    <t>ФССЦпг01-01-01-041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</si>
  <si>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вручную, 1 т груза
НР 0%=0%*0.85 от 
СП 0%=0%*0.8 от 
 </t>
  </si>
  <si>
    <t xml:space="preserve">Мусор строительный, вручную: погрузка: ОЗП=10,64
 </t>
  </si>
  <si>
    <t>ФССЦпг01-01-01-045
--------------------
Приказ Минстроя России от 12.11.14 №703/пр</t>
  </si>
  <si>
    <t xml:space="preserve">Погрузочные работы при автомобильных перевозках: прочих материалов, деталей (с использованием погрузчика), 1 т груза
НР 0%=0%*0.85 от 
СП 0%=0%*0.8 от 
 </t>
  </si>
  <si>
    <t xml:space="preserve">Прочие материалы, конструкции и детали (с использованием погрузчика): погрузка; ЭМ=11,14
 </t>
  </si>
  <si>
    <t>ФССЦпг01-01-01-003
--------------------
Приказ Минстроя России от 12.11.14 №703/пр</t>
  </si>
  <si>
    <t xml:space="preserve">Погрузочные работы при автомобильных перевозках: изделий из сборного железобетона, бетона, керамзитобетона массой до 3 т, 1 т груза
НР 0%=0%*0.85 от ФОТ
СП 0%=0%*0.8 от ФОТ
 </t>
  </si>
  <si>
    <t xml:space="preserve">Изделия из сборного железобетона, бетона, керамзитобетона массой до 3 т: погрузка; ЭМ=13,75
 </t>
  </si>
  <si>
    <t>ФССЦпг03-21-01-003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</si>
  <si>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3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</si>
  <si>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3 км.: I класс груза; ЭМ=9,57
 </t>
  </si>
  <si>
    <t>Итого прямые затраты по разделу в ценах 2001г.</t>
  </si>
  <si>
    <t>14913
573</t>
  </si>
  <si>
    <t>951,76
46,6</t>
  </si>
  <si>
    <t>Итого прямые затраты по разделу с учетом индексов, в текущих ценах</t>
  </si>
  <si>
    <t>161862
9426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</si>
  <si>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</si>
  <si>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</si>
  <si>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</si>
  <si>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</si>
  <si>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219,11
16,33</t>
  </si>
  <si>
    <t xml:space="preserve">  Бетонные и железобетонные сборные конструкции в жилищно-гражданском строительстве</t>
  </si>
  <si>
    <t>208,56
30,27</t>
  </si>
  <si>
    <t xml:space="preserve">  Крыши, кровли (ремонтно-строительные)</t>
  </si>
  <si>
    <t xml:space="preserve">  Прочие ремонтно-строительные работы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</si>
  <si>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</si>
  <si>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</si>
  <si>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</si>
  <si>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</si>
  <si>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</si>
  <si>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</si>
  <si>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</si>
  <si>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</si>
  <si>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</si>
  <si>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</si>
  <si>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кровли</t>
  </si>
  <si>
    <t>ФЕРр53-20-1
--------------------
Приказ Минстроя РФ от 30.01.14 №31/пр</t>
  </si>
  <si>
    <t xml:space="preserve">Кладка отдельных участков из кирпича: наружных простых стен, 100 м3 кладки
(МДС35 пр.1 т.3 п.11.2.Ремонт сложных кровель ОЗП=1,25; ЭМ=1,25 к расх.; ЗПМ=1,25; ТЗ=1,25; ТЗМ=1,25)
НР 73%=86%*0.85 от ФОТ
СП 56%=70%*0.8 от ФОТ
 </t>
  </si>
  <si>
    <t>91297,29
5897,43</t>
  </si>
  <si>
    <t>4212
658,13</t>
  </si>
  <si>
    <t xml:space="preserve">79.38 Кладка отдельных участков стен из кирпича и заделка проемов кирпичом: ОЗП=16,45; ЭМ=12,02; ЗПМ=16,45; МАТ=4,63
 </t>
  </si>
  <si>
    <t>1767
378</t>
  </si>
  <si>
    <t>703,75
48,75</t>
  </si>
  <si>
    <t>24,63
1,71</t>
  </si>
  <si>
    <t xml:space="preserve">Установка мелких конструкций (подо конников, сливов, парапетов и др.) массой до 0,5 т, 100 шт. сборных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119%=155%*(0.9*0.85) от ФОТ
СП 68%=100%*(0.85*0.8) от ФОТ
 </t>
  </si>
  <si>
    <t>3738,67
1598,08</t>
  </si>
  <si>
    <t>425,25
66,45</t>
  </si>
  <si>
    <t>2223
477</t>
  </si>
  <si>
    <t>176,1944
4,9219</t>
  </si>
  <si>
    <t>77,53
2,17</t>
  </si>
  <si>
    <t>ФССЦ-403-6035
--------------------
Приказ Минстроя России от 12.11.14 №703/пр</t>
  </si>
  <si>
    <t xml:space="preserve">Плиты опорные: ОП 4.4-Т /бетон В15 (М200), объем 0,02 м3, расход ар-ры 1,6 кг/ (серия 1.225-2 вып.11), шт.
 </t>
  </si>
  <si>
    <t xml:space="preserve">Плиты опорные ОП 4.4-Т /бетон В15 (М200), объем 0,02 м3, расход ар-ры 1,6 кг/ (серия 1.225-2 вып. 11); МАТ=12,759
 </t>
  </si>
  <si>
    <t>ФЕР09-03-015-01
--------------------
Приказ Минстроя РФ от 30.01.14 №31/пр</t>
  </si>
  <si>
    <t xml:space="preserve">Монтаж прогонов при шаге ферм до 12 м при высоте здания: до 25 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69%=90%*(0.9*0.85) от ФОТ
СП 58%=85%*(0.85*0.8) от ФОТ
 </t>
  </si>
  <si>
    <t>728,59
198,38</t>
  </si>
  <si>
    <t>444,7
35,08</t>
  </si>
  <si>
    <t xml:space="preserve">9.31 Монтаж прогонов при шаге ферм до 12 м: ОЗП=16,45; ЭМ=10,16; ЗПМ=16,45; МАТ=5,55
 </t>
  </si>
  <si>
    <t>17140
2188</t>
  </si>
  <si>
    <t>22,6981
2,4375</t>
  </si>
  <si>
    <t>86,13
9,25</t>
  </si>
  <si>
    <t>ФССЦ-201-0759
--------------------
Приказ Минстроя России от 12.11.14 №703/пр</t>
  </si>
  <si>
    <t xml:space="preserve">Отдельные конструктивные элементы зданий и сооружений с преобладанием: горячекатаных профилей, средняя масса сборочной единицы свыше 3 т, т
 </t>
  </si>
  <si>
    <t xml:space="preserve">Отдельные конструктивные элементы зданий и сооружений с преобладанием горячекатаных профилей, средняя масса сборочной единицы свыше 3 т; МАТ=9,931
 </t>
  </si>
  <si>
    <t>ФЕР09-03-014-01
--------------------
Приказ Минстроя РФ от 30.01.14 №31/пр</t>
  </si>
  <si>
    <t xml:space="preserve">Монтаж связей и распорок из одиночных и парных уголков, гнутосварных профилей для пролетов: до 24 м при высоте здания до 25 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69%=90%*(0.9*0.85) от ФОТ
СП 58%=85%*(0.85*0.8) от ФОТ
 </t>
  </si>
  <si>
    <t>1772,98
795,04</t>
  </si>
  <si>
    <t>745,59
80,88</t>
  </si>
  <si>
    <t xml:space="preserve">9.30 Монтаж связей и распорок из одиночных и парных уголков, гнутосварных профилей: ОЗП=16,45; ЭМ=11,94; ЗПМ=16,45; МАТ=6,27
 </t>
  </si>
  <si>
    <t>19259
2879</t>
  </si>
  <si>
    <t>90,965
5,9688</t>
  </si>
  <si>
    <t>196,85
12,92</t>
  </si>
  <si>
    <t>ФССЦ-201-0758
--------------------
Приказ Минстроя России от 12.11.14 №703/пр</t>
  </si>
  <si>
    <t xml:space="preserve">Отдельные конструктивные элементы зданий и сооружений с преобладанием: горячекатаных профилей, средняя масса сборочной единицы свыше 1 до 3 т, т
 </t>
  </si>
  <si>
    <t xml:space="preserve">Отдельные конструктивные элементы зданий и сооружений с преобладанием горячекатаных профилей, средняя масса сборочной единицы свыше 1 до 3 т; МАТ=9,931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</si>
  <si>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</si>
  <si>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69%=90%*(0.9*0.85) от ФОТ
СП 48%=70%*(0.85*0.8) от ФОТ
 </t>
  </si>
  <si>
    <t>340,94
49,94</t>
  </si>
  <si>
    <t>9,72
0,16</t>
  </si>
  <si>
    <t xml:space="preserve">13.100 Окраска металлических огрунтованных поверхностей: эмалью ПФ-115: ОЗП=16,45; ЭМ=10,62; ЗПМ=16,45; МАТ=4,94
 </t>
  </si>
  <si>
    <t>5,5056
0,0156</t>
  </si>
  <si>
    <t>9,36
0,03</t>
  </si>
  <si>
    <t xml:space="preserve">                                   Элементы стропильнойи  подстропильной системы</t>
  </si>
  <si>
    <t>ФЕР10-01-010-01
--------------------
Приказ Минстроя РФ от 30.01.14 №31/пр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</si>
  <si>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</si>
  <si>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2512,4
271,04</t>
  </si>
  <si>
    <t xml:space="preserve">10.18. Установка деревянных элементов каркаса: ОЗП=16,45; ЭМ=11,08; ЗПМ=16,45; МАТ=3,37
 </t>
  </si>
  <si>
    <t>ФЕР10-01-002-01
--------------------
Приказ Минстроя РФ от 30.01.14 №31/пр</t>
  </si>
  <si>
    <t xml:space="preserve">Установка 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90%=118%*(0.9*0.85) от ФОТ
СП 43%=63%*(0.85*0.8) от ФОТ
 </t>
  </si>
  <si>
    <t>2409,75
287,77</t>
  </si>
  <si>
    <t>59,72
3,17</t>
  </si>
  <si>
    <t xml:space="preserve">10.4. Установка стропил: ОЗП=16,45; ЭМ=10,79; ЗПМ=16,45; МАТ=3,71
 </t>
  </si>
  <si>
    <t>18850
1530</t>
  </si>
  <si>
    <t>34,6294
0,2344</t>
  </si>
  <si>
    <t>1013,26
6,86</t>
  </si>
  <si>
    <t>ФЕРр58-12-1
--------------------
Приказ Минстроя РФ от 30.01.14 №31/пр</t>
  </si>
  <si>
    <t xml:space="preserve">Устройство обрешетки сплошной из досок, 100 м2
(МДС35 пр.1 т.3 п.11.2.Ремонт сложных кровель ОЗП=1,25; ЭМ=1,25 к расх.; ЗПМ=1,25; ТЗ=1,25; ТЗМ=1,25)
НР 71%=83%*0.85 от ФОТ
СП 52%=65%*0.8 от ФОТ
 </t>
  </si>
  <si>
    <t>2565,57
315,91</t>
  </si>
  <si>
    <t>50,98
7,43</t>
  </si>
  <si>
    <t xml:space="preserve">84.30 Устройство обрешетки сплошной из досок: ОЗП=16,45; ЭМ=10; ЗПМ=16,45; МАТ=5,51
 </t>
  </si>
  <si>
    <t>1740
411</t>
  </si>
  <si>
    <t>39,7875
0,55</t>
  </si>
  <si>
    <t>135,83
1,88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</si>
  <si>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</si>
  <si>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(МДС35 пр.1 т.3 п.11.2.Ремонт сложных кровель ОЗП=1,25; ЭМ=1,25 к расх.; ЗПМ=1,25; ТЗ=1,25; ТЗМ=1,25)
НР 71%=83%*0.85 от ФОТ
СП 52%=65%*0.8 от ФОТ
 </t>
  </si>
  <si>
    <t>1815,84
211,9</t>
  </si>
  <si>
    <t>33,21
5,4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</si>
  <si>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</si>
  <si>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1828
494</t>
  </si>
  <si>
    <t>26,6875
0,4</t>
  </si>
  <si>
    <t>149,53
2,24</t>
  </si>
  <si>
    <t>ФЕР06-01-013-01
--------------------
Приказ Минстроя РФ от 30.01.14 №31/пр</t>
  </si>
  <si>
    <t xml:space="preserve">Устройство подливки толщиной 20 мм, 100 м2 подливки под оборудование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80%=105%*(0.9*0.85) от ФОТ
СП 44%=65%*(0.85*0.8) от ФОТ
 </t>
  </si>
  <si>
    <t>2145,83
590,31</t>
  </si>
  <si>
    <t>22,72
1,69</t>
  </si>
  <si>
    <t xml:space="preserve">6.16. Устройство подливки: ОЗП=16,45; ЭМ=10,93; ЗПМ=16,45; МАТ=5,18
 </t>
  </si>
  <si>
    <t>65,8088
0,125</t>
  </si>
  <si>
    <t>9,82
0,02</t>
  </si>
  <si>
    <t>ФЕР06-01-013-02
--------------------
Приказ Минстроя РФ от 30.01.14 №31/пр</t>
  </si>
  <si>
    <t xml:space="preserve">На каждые 10 мм изменения толщины добавлять или исключать к расценке 06-01-013-01, 100 м2 подливки под оборудование
(До толщ.50мм ПЗ=3 (ОЗП=3; ЭМ=3 к расх.; ЗПМ=3; МАТ=3 к расх.; ТЗ=3; ТЗМ=3);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80%=105%*(0.9*0.85) от ФОТ
СП 44%=65%*(0.85*0.8) от ФОТ
 </t>
  </si>
  <si>
    <t>2705,3
505,99</t>
  </si>
  <si>
    <t>30,8
2,53</t>
  </si>
  <si>
    <t>56,4075
0,1875</t>
  </si>
  <si>
    <t>8,42
0,03</t>
  </si>
  <si>
    <t>ФССЦ-401-0086
--------------------
Приказ Минстроя России от 12.11.14 №703/пр</t>
  </si>
  <si>
    <t xml:space="preserve">Бетон тяжелый, крупность заполнителя: 10 мм, класс В15 (М200), м3
 </t>
  </si>
  <si>
    <t xml:space="preserve">Бетон тяжелый, крупность заполнителя 10 мм, класс:  В 15 (М200); МАТ=5,24
 </t>
  </si>
  <si>
    <t>ФССЦ-402-0005
--------------------
Приказ Минстроя России от 12.11.14 №703/пр</t>
  </si>
  <si>
    <t xml:space="preserve">Раствор готовый кладочный цементный марки: 150, м3
 </t>
  </si>
  <si>
    <t xml:space="preserve">Раствор готовый кладочный цементный марки 150; МАТ=6,38
 </t>
  </si>
  <si>
    <t xml:space="preserve">Кладка отдельных участков из кирпича: наружных простых стен (стена под мауэрлат), 100 м3 кладки
(МДС35 пр.1 т.3 п.11.2.Ремонт сложных кровель ОЗП=1,25; ЭМ=1,25 к расх.; ЗПМ=1,25; ТЗ=1,25; ТЗМ=1,25)
НР 73%=86%*0.85 от ФОТ
СП 56%=70%*0.8 от ФОТ
 </t>
  </si>
  <si>
    <t>1466
313</t>
  </si>
  <si>
    <t>20,41
1,41</t>
  </si>
  <si>
    <t>ФЕР46-08-012-03
--------------------
Приказ Минстроя РФ от 30.01.14 №31/пр</t>
  </si>
  <si>
    <t xml:space="preserve">Установка анкеров в отверстия глубиной 100 мм с применением смесей серии MASTERFLOW, диаметр анкера: 12 мм, 100 шт.
НР 84%=110%*(0.9*0.85) от ФОТ
СП 48%=70%*(0.85*0.8) от ФОТ
 </t>
  </si>
  <si>
    <t>92,52
74,21</t>
  </si>
  <si>
    <t xml:space="preserve">46.129 Установка анкеров с применением смесей серии MASTERFLOW: ОЗП=16,45; ЭМ=6,34; ЗПМ=16,45
 </t>
  </si>
  <si>
    <t>ФССЦ-204-0022
--------------------
Приказ Минстроя России от 12.11.14 №703/пр</t>
  </si>
  <si>
    <t xml:space="preserve">Горячекатаная арматурная сталь периодического профиля класса: А-III, диаметром 12 мм, т
 </t>
  </si>
  <si>
    <t xml:space="preserve">Горячекатаная арматурная сталь периодического профиля класса:А-III, диаметром 12 мм; МАТ=3,624
 </t>
  </si>
  <si>
    <t>ФЕР46-08-012-05
--------------------
Приказ Минстроя РФ от 30.01.14 №31/пр</t>
  </si>
  <si>
    <t xml:space="preserve">Установка анкеров в отверстия глубиной 100 мм с применением смесей серии MASTERFLOW, диаметр анкера: 20 мм и более, 100 шт.
НР 84%=110%*(0.9*0.85) от ФОТ
СП 48%=70%*(0.85*0.8) от ФОТ
 </t>
  </si>
  <si>
    <t>175,12
136,05</t>
  </si>
  <si>
    <t>ФССЦ-204-0007
--------------------
Приказ Минстроя России от 12.11.14 №703/пр</t>
  </si>
  <si>
    <t xml:space="preserve">Горячекатаная арматурная сталь гладкая класса А-I, диаметром: 20-22 мм, т
 </t>
  </si>
  <si>
    <t xml:space="preserve">Горячекатаная арматурная сталь гладкая класса А-I диаметром 20-22 мм; МАТ=5,187
 </t>
  </si>
  <si>
    <t>ФЕР07-01-044-03
--------------------
Приказ Минстроя РФ от 30.01.14 №31/пр</t>
  </si>
  <si>
    <t xml:space="preserve">Установка монтажных изделий массой: до 20 кг(пластина 250х250мм), 1 т стальных элементов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99%=130%*(0.9*0.85) от ФОТ
СП 58%=85%*(0.85*0.8) от ФОТ
 </t>
  </si>
  <si>
    <t>11457,9
626,71</t>
  </si>
  <si>
    <t xml:space="preserve">7.31. Установка стальных крепежных элементов: ОЗП=16,45; ЭМ=7,62; ЗПМ=16,45; МАТ=6,71
 </t>
  </si>
  <si>
    <t xml:space="preserve">                                   Карниз</t>
  </si>
  <si>
    <t>ФЕР10-01-008-05
--------------------
Приказ Минстроя России от 12.11.14 №703/пр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</si>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</sst>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6"/>
  <sheetViews>
    <sheetView showGridLines="0" tabSelected="1" zoomScale="104" zoomScaleNormal="104" zoomScalePageLayoutView="0" workbookViewId="0" topLeftCell="A1">
      <selection activeCell="K11" sqref="K11:N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111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729</v>
      </c>
      <c r="B2" s="53"/>
      <c r="D2" s="56"/>
      <c r="F2" s="58" t="s">
        <v>514</v>
      </c>
      <c r="G2" s="58"/>
      <c r="I2" s="59"/>
      <c r="J2" s="57"/>
      <c r="K2" s="57" t="s">
        <v>730</v>
      </c>
      <c r="L2" s="57"/>
      <c r="M2" s="52"/>
    </row>
    <row r="3" spans="1:13" s="49" customFormat="1" ht="12">
      <c r="A3" s="57" t="s">
        <v>731</v>
      </c>
      <c r="E3" s="52"/>
      <c r="F3" s="52"/>
      <c r="G3" s="52"/>
      <c r="H3" s="52"/>
      <c r="I3" s="52"/>
      <c r="J3" s="57"/>
      <c r="K3" s="57" t="s">
        <v>439</v>
      </c>
      <c r="L3" s="57"/>
      <c r="M3" s="52"/>
    </row>
    <row r="4" spans="1:13" s="49" customFormat="1" ht="12">
      <c r="A4" s="52"/>
      <c r="B4" s="52"/>
      <c r="C4" s="52"/>
      <c r="F4" s="60" t="s">
        <v>110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515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112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745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747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">
      <c r="A11" s="66" t="s">
        <v>734</v>
      </c>
      <c r="B11" s="67"/>
      <c r="C11" s="93">
        <v>5660988</v>
      </c>
      <c r="D11" s="93"/>
      <c r="E11" s="93"/>
      <c r="F11" s="57" t="s">
        <v>733</v>
      </c>
      <c r="G11" s="68"/>
      <c r="H11" s="68"/>
      <c r="I11" s="68"/>
      <c r="J11" s="68"/>
      <c r="K11" s="114" t="s">
        <v>956</v>
      </c>
      <c r="L11" s="115"/>
      <c r="M11" s="115"/>
      <c r="N11" s="115"/>
    </row>
    <row r="12" spans="1:14" ht="12">
      <c r="A12" s="66" t="s">
        <v>744</v>
      </c>
      <c r="B12" s="67"/>
      <c r="C12" s="69"/>
      <c r="D12" s="94">
        <v>1016023</v>
      </c>
      <c r="E12" s="94"/>
      <c r="F12" s="57" t="s">
        <v>733</v>
      </c>
      <c r="G12" s="68"/>
      <c r="H12" s="68"/>
      <c r="I12" s="68"/>
      <c r="J12" s="68"/>
      <c r="K12" s="115"/>
      <c r="L12" s="115"/>
      <c r="M12" s="115"/>
      <c r="N12" s="115"/>
    </row>
    <row r="13" spans="1:14" ht="12">
      <c r="A13" s="66" t="s">
        <v>113</v>
      </c>
      <c r="B13" s="46"/>
      <c r="C13" s="70"/>
      <c r="D13" s="71"/>
      <c r="E13" s="72"/>
      <c r="F13" s="73"/>
      <c r="G13" s="74"/>
      <c r="H13" s="74"/>
      <c r="I13" s="68"/>
      <c r="J13" s="68"/>
      <c r="K13" s="115"/>
      <c r="L13" s="115"/>
      <c r="M13" s="115"/>
      <c r="N13" s="115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733</v>
      </c>
    </row>
    <row r="15" spans="1:14" ht="12.75" customHeight="1">
      <c r="A15" s="90" t="s">
        <v>516</v>
      </c>
      <c r="B15" s="90" t="s">
        <v>741</v>
      </c>
      <c r="C15" s="88" t="s">
        <v>746</v>
      </c>
      <c r="D15" s="88" t="s">
        <v>742</v>
      </c>
      <c r="E15" s="99" t="s">
        <v>114</v>
      </c>
      <c r="F15" s="100"/>
      <c r="G15" s="101"/>
      <c r="H15" s="88" t="s">
        <v>728</v>
      </c>
      <c r="I15" s="99" t="s">
        <v>115</v>
      </c>
      <c r="J15" s="105"/>
      <c r="K15" s="105"/>
      <c r="L15" s="96"/>
      <c r="M15" s="95" t="s">
        <v>743</v>
      </c>
      <c r="N15" s="96"/>
    </row>
    <row r="16" spans="1:14" s="50" customFormat="1" ht="38.25" customHeight="1">
      <c r="A16" s="91"/>
      <c r="B16" s="91"/>
      <c r="C16" s="91"/>
      <c r="D16" s="91"/>
      <c r="E16" s="102"/>
      <c r="F16" s="103"/>
      <c r="G16" s="104"/>
      <c r="H16" s="91"/>
      <c r="I16" s="97"/>
      <c r="J16" s="106"/>
      <c r="K16" s="106"/>
      <c r="L16" s="98"/>
      <c r="M16" s="97"/>
      <c r="N16" s="98"/>
    </row>
    <row r="17" spans="1:14" s="50" customFormat="1" ht="12.75" customHeight="1">
      <c r="A17" s="91"/>
      <c r="B17" s="91"/>
      <c r="C17" s="91"/>
      <c r="D17" s="91"/>
      <c r="E17" s="75" t="s">
        <v>736</v>
      </c>
      <c r="F17" s="75" t="s">
        <v>738</v>
      </c>
      <c r="G17" s="88" t="s">
        <v>740</v>
      </c>
      <c r="H17" s="91"/>
      <c r="I17" s="88" t="s">
        <v>736</v>
      </c>
      <c r="J17" s="88" t="s">
        <v>739</v>
      </c>
      <c r="K17" s="75" t="s">
        <v>738</v>
      </c>
      <c r="L17" s="88" t="s">
        <v>740</v>
      </c>
      <c r="M17" s="90" t="s">
        <v>732</v>
      </c>
      <c r="N17" s="88" t="s">
        <v>736</v>
      </c>
    </row>
    <row r="18" spans="1:14" s="50" customFormat="1" ht="11.25" customHeight="1">
      <c r="A18" s="89"/>
      <c r="B18" s="89"/>
      <c r="C18" s="89"/>
      <c r="D18" s="89"/>
      <c r="E18" s="76" t="s">
        <v>735</v>
      </c>
      <c r="F18" s="75" t="s">
        <v>737</v>
      </c>
      <c r="G18" s="89"/>
      <c r="H18" s="89"/>
      <c r="I18" s="89"/>
      <c r="J18" s="89"/>
      <c r="K18" s="75" t="s">
        <v>737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8" t="s">
        <v>749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ht="60">
      <c r="A21" s="78">
        <v>1</v>
      </c>
      <c r="B21" s="79" t="s">
        <v>750</v>
      </c>
      <c r="C21" s="79" t="s">
        <v>751</v>
      </c>
      <c r="D21" s="78">
        <v>7.1</v>
      </c>
      <c r="E21" s="80" t="s">
        <v>752</v>
      </c>
      <c r="F21" s="80">
        <v>41.43</v>
      </c>
      <c r="G21" s="80"/>
      <c r="H21" s="81" t="s">
        <v>753</v>
      </c>
      <c r="I21" s="82">
        <v>13973</v>
      </c>
      <c r="J21" s="80">
        <v>13094</v>
      </c>
      <c r="K21" s="80">
        <v>879</v>
      </c>
      <c r="L21" s="80" t="str">
        <f>IF(7.1*0=0," ",TEXT(,ROUND((7.1*0*1),2)))</f>
        <v> </v>
      </c>
      <c r="M21" s="80">
        <v>14.38</v>
      </c>
      <c r="N21" s="80">
        <v>102.1</v>
      </c>
    </row>
    <row r="22" spans="1:14" ht="96">
      <c r="A22" s="78">
        <v>2</v>
      </c>
      <c r="B22" s="79" t="s">
        <v>754</v>
      </c>
      <c r="C22" s="79" t="s">
        <v>755</v>
      </c>
      <c r="D22" s="78">
        <v>0.09</v>
      </c>
      <c r="E22" s="80" t="s">
        <v>756</v>
      </c>
      <c r="F22" s="80" t="s">
        <v>757</v>
      </c>
      <c r="G22" s="80"/>
      <c r="H22" s="81" t="s">
        <v>758</v>
      </c>
      <c r="I22" s="82">
        <v>1554</v>
      </c>
      <c r="J22" s="80">
        <v>1316</v>
      </c>
      <c r="K22" s="80" t="s">
        <v>759</v>
      </c>
      <c r="L22" s="80" t="str">
        <f>IF(0.09*0=0," ",TEXT(,ROUND((0.09*0*5.75),2)))</f>
        <v> </v>
      </c>
      <c r="M22" s="80" t="s">
        <v>760</v>
      </c>
      <c r="N22" s="80" t="s">
        <v>761</v>
      </c>
    </row>
    <row r="23" spans="1:14" ht="60">
      <c r="A23" s="78">
        <v>3</v>
      </c>
      <c r="B23" s="79" t="s">
        <v>762</v>
      </c>
      <c r="C23" s="79" t="s">
        <v>763</v>
      </c>
      <c r="D23" s="78" t="s">
        <v>764</v>
      </c>
      <c r="E23" s="80" t="s">
        <v>765</v>
      </c>
      <c r="F23" s="80" t="s">
        <v>766</v>
      </c>
      <c r="G23" s="80"/>
      <c r="H23" s="81" t="s">
        <v>767</v>
      </c>
      <c r="I23" s="82">
        <v>28239</v>
      </c>
      <c r="J23" s="80">
        <v>17059</v>
      </c>
      <c r="K23" s="80" t="s">
        <v>768</v>
      </c>
      <c r="L23" s="80" t="str">
        <f>IF(14.2*0=0," ",TEXT(,ROUND((14.2*0*1),2)))</f>
        <v> </v>
      </c>
      <c r="M23" s="80" t="s">
        <v>769</v>
      </c>
      <c r="N23" s="80" t="s">
        <v>770</v>
      </c>
    </row>
    <row r="24" spans="1:14" ht="72">
      <c r="A24" s="78">
        <v>4</v>
      </c>
      <c r="B24" s="79" t="s">
        <v>771</v>
      </c>
      <c r="C24" s="79" t="s">
        <v>772</v>
      </c>
      <c r="D24" s="78">
        <v>1.18</v>
      </c>
      <c r="E24" s="80" t="s">
        <v>773</v>
      </c>
      <c r="F24" s="80">
        <v>0.2</v>
      </c>
      <c r="G24" s="80"/>
      <c r="H24" s="81" t="s">
        <v>774</v>
      </c>
      <c r="I24" s="82">
        <v>1382</v>
      </c>
      <c r="J24" s="80">
        <v>1382</v>
      </c>
      <c r="K24" s="80"/>
      <c r="L24" s="80" t="str">
        <f>IF(1.18*0=0," ",TEXT(,ROUND((1.18*0*1),2)))</f>
        <v> </v>
      </c>
      <c r="M24" s="80">
        <v>9.1</v>
      </c>
      <c r="N24" s="80">
        <v>10.74</v>
      </c>
    </row>
    <row r="25" spans="1:14" ht="72">
      <c r="A25" s="78">
        <v>5</v>
      </c>
      <c r="B25" s="79" t="s">
        <v>775</v>
      </c>
      <c r="C25" s="79" t="s">
        <v>776</v>
      </c>
      <c r="D25" s="78">
        <v>1.2</v>
      </c>
      <c r="E25" s="80" t="s">
        <v>777</v>
      </c>
      <c r="F25" s="80"/>
      <c r="G25" s="80"/>
      <c r="H25" s="81" t="s">
        <v>774</v>
      </c>
      <c r="I25" s="82">
        <v>1744</v>
      </c>
      <c r="J25" s="80">
        <v>1744</v>
      </c>
      <c r="K25" s="80"/>
      <c r="L25" s="80" t="str">
        <f>IF(1.2*0=0," ",TEXT(,ROUND((1.2*0*1),2)))</f>
        <v> </v>
      </c>
      <c r="M25" s="80">
        <v>11.04</v>
      </c>
      <c r="N25" s="80">
        <v>13.25</v>
      </c>
    </row>
    <row r="26" spans="1:14" ht="96">
      <c r="A26" s="78">
        <v>6</v>
      </c>
      <c r="B26" s="79" t="s">
        <v>778</v>
      </c>
      <c r="C26" s="79" t="s">
        <v>779</v>
      </c>
      <c r="D26" s="78">
        <v>0.24</v>
      </c>
      <c r="E26" s="80" t="s">
        <v>780</v>
      </c>
      <c r="F26" s="80" t="s">
        <v>781</v>
      </c>
      <c r="G26" s="80"/>
      <c r="H26" s="81" t="s">
        <v>758</v>
      </c>
      <c r="I26" s="82">
        <v>4107</v>
      </c>
      <c r="J26" s="80">
        <v>1349</v>
      </c>
      <c r="K26" s="80" t="s">
        <v>782</v>
      </c>
      <c r="L26" s="80" t="str">
        <f>IF(0.24*0=0," ",TEXT(,ROUND((0.24*0*5.75),2)))</f>
        <v> </v>
      </c>
      <c r="M26" s="80" t="s">
        <v>783</v>
      </c>
      <c r="N26" s="80" t="s">
        <v>784</v>
      </c>
    </row>
    <row r="27" spans="1:14" ht="96">
      <c r="A27" s="78">
        <v>7</v>
      </c>
      <c r="B27" s="79" t="s">
        <v>785</v>
      </c>
      <c r="C27" s="79" t="s">
        <v>786</v>
      </c>
      <c r="D27" s="78">
        <v>0.76</v>
      </c>
      <c r="E27" s="80" t="s">
        <v>787</v>
      </c>
      <c r="F27" s="80" t="s">
        <v>788</v>
      </c>
      <c r="G27" s="80"/>
      <c r="H27" s="81" t="s">
        <v>789</v>
      </c>
      <c r="I27" s="82">
        <v>60994</v>
      </c>
      <c r="J27" s="80">
        <v>29857</v>
      </c>
      <c r="K27" s="80" t="s">
        <v>790</v>
      </c>
      <c r="L27" s="80" t="str">
        <f>IF(0.76*0=0," ",TEXT(,ROUND((0.76*0*5.85),2)))</f>
        <v> </v>
      </c>
      <c r="M27" s="80" t="s">
        <v>791</v>
      </c>
      <c r="N27" s="80" t="s">
        <v>792</v>
      </c>
    </row>
    <row r="28" spans="1:14" ht="60">
      <c r="A28" s="78">
        <v>8</v>
      </c>
      <c r="B28" s="79" t="s">
        <v>793</v>
      </c>
      <c r="C28" s="79" t="s">
        <v>794</v>
      </c>
      <c r="D28" s="78" t="s">
        <v>795</v>
      </c>
      <c r="E28" s="80" t="s">
        <v>796</v>
      </c>
      <c r="F28" s="80"/>
      <c r="G28" s="80"/>
      <c r="H28" s="81" t="s">
        <v>797</v>
      </c>
      <c r="I28" s="82">
        <v>40286</v>
      </c>
      <c r="J28" s="80">
        <v>40286</v>
      </c>
      <c r="K28" s="80"/>
      <c r="L28" s="80" t="str">
        <f>IF(1.576*0=0," ",TEXT(,ROUND((1.576*0*1),2)))</f>
        <v> </v>
      </c>
      <c r="M28" s="80">
        <v>214.32</v>
      </c>
      <c r="N28" s="80">
        <v>337.77</v>
      </c>
    </row>
    <row r="29" spans="1:14" ht="60">
      <c r="A29" s="78">
        <v>9</v>
      </c>
      <c r="B29" s="79" t="s">
        <v>798</v>
      </c>
      <c r="C29" s="79" t="s">
        <v>799</v>
      </c>
      <c r="D29" s="78">
        <v>157.6</v>
      </c>
      <c r="E29" s="80" t="s">
        <v>800</v>
      </c>
      <c r="F29" s="80"/>
      <c r="G29" s="80">
        <v>16.4</v>
      </c>
      <c r="H29" s="81" t="s">
        <v>801</v>
      </c>
      <c r="I29" s="82">
        <v>38284</v>
      </c>
      <c r="J29" s="80">
        <v>19214</v>
      </c>
      <c r="K29" s="80"/>
      <c r="L29" s="80" t="str">
        <f>IF(157.6*16.4=0," ",TEXT(,ROUND((157.6*16.4*7.38),2)))</f>
        <v>19074.64</v>
      </c>
      <c r="M29" s="80">
        <v>1.03</v>
      </c>
      <c r="N29" s="80">
        <v>162.33</v>
      </c>
    </row>
    <row r="30" spans="1:14" ht="72">
      <c r="A30" s="78">
        <v>10</v>
      </c>
      <c r="B30" s="79" t="s">
        <v>802</v>
      </c>
      <c r="C30" s="79" t="s">
        <v>803</v>
      </c>
      <c r="D30" s="78">
        <v>2.7</v>
      </c>
      <c r="E30" s="80">
        <v>42.98</v>
      </c>
      <c r="F30" s="80">
        <v>42.98</v>
      </c>
      <c r="G30" s="80"/>
      <c r="H30" s="81" t="s">
        <v>804</v>
      </c>
      <c r="I30" s="82">
        <v>116</v>
      </c>
      <c r="J30" s="80"/>
      <c r="K30" s="80">
        <v>116</v>
      </c>
      <c r="L30" s="80" t="str">
        <f>IF(2.7*0=0," ",TEXT(,ROUND((2.7*0*1),2)))</f>
        <v> </v>
      </c>
      <c r="M30" s="80"/>
      <c r="N30" s="80"/>
    </row>
    <row r="31" spans="1:14" ht="72">
      <c r="A31" s="78">
        <v>11</v>
      </c>
      <c r="B31" s="79" t="s">
        <v>805</v>
      </c>
      <c r="C31" s="79" t="s">
        <v>806</v>
      </c>
      <c r="D31" s="78">
        <v>269.59</v>
      </c>
      <c r="E31" s="80">
        <v>17.95</v>
      </c>
      <c r="F31" s="80">
        <v>17.95</v>
      </c>
      <c r="G31" s="80"/>
      <c r="H31" s="81" t="s">
        <v>807</v>
      </c>
      <c r="I31" s="82">
        <v>53906</v>
      </c>
      <c r="J31" s="80"/>
      <c r="K31" s="80">
        <v>53906</v>
      </c>
      <c r="L31" s="80" t="str">
        <f>IF(269.59*0=0," ",TEXT(,ROUND((269.59*0*1),2)))</f>
        <v> </v>
      </c>
      <c r="M31" s="80"/>
      <c r="N31" s="80"/>
    </row>
    <row r="32" spans="1:14" ht="72">
      <c r="A32" s="78">
        <v>12</v>
      </c>
      <c r="B32" s="79" t="s">
        <v>808</v>
      </c>
      <c r="C32" s="79" t="s">
        <v>809</v>
      </c>
      <c r="D32" s="78">
        <v>254.32</v>
      </c>
      <c r="E32" s="80">
        <v>10.71</v>
      </c>
      <c r="F32" s="80">
        <v>10.71</v>
      </c>
      <c r="G32" s="80"/>
      <c r="H32" s="81" t="s">
        <v>810</v>
      </c>
      <c r="I32" s="82">
        <v>37455</v>
      </c>
      <c r="J32" s="80"/>
      <c r="K32" s="80">
        <v>37455</v>
      </c>
      <c r="L32" s="80" t="str">
        <f>IF(254.32*0=0," ",TEXT(,ROUND((254.32*0*1),2)))</f>
        <v> </v>
      </c>
      <c r="M32" s="80"/>
      <c r="N32" s="80"/>
    </row>
    <row r="33" spans="1:14" ht="84">
      <c r="A33" s="78">
        <v>13</v>
      </c>
      <c r="B33" s="79" t="s">
        <v>811</v>
      </c>
      <c r="C33" s="79" t="s">
        <v>812</v>
      </c>
      <c r="D33" s="78">
        <v>526.61</v>
      </c>
      <c r="E33" s="80">
        <v>4.8</v>
      </c>
      <c r="F33" s="80">
        <v>4.8</v>
      </c>
      <c r="G33" s="80"/>
      <c r="H33" s="81" t="s">
        <v>813</v>
      </c>
      <c r="I33" s="82">
        <v>24193</v>
      </c>
      <c r="J33" s="80"/>
      <c r="K33" s="80">
        <v>24193</v>
      </c>
      <c r="L33" s="80" t="str">
        <f>IF(526.61*0=0," ",TEXT(,ROUND((526.61*0*1),2)))</f>
        <v> </v>
      </c>
      <c r="M33" s="80"/>
      <c r="N33" s="80"/>
    </row>
    <row r="34" spans="1:14" ht="24">
      <c r="A34" s="107" t="s">
        <v>814</v>
      </c>
      <c r="B34" s="107"/>
      <c r="C34" s="107"/>
      <c r="D34" s="107"/>
      <c r="E34" s="107"/>
      <c r="F34" s="107"/>
      <c r="G34" s="107"/>
      <c r="H34" s="107"/>
      <c r="I34" s="82">
        <v>25114</v>
      </c>
      <c r="J34" s="80">
        <v>7617</v>
      </c>
      <c r="K34" s="80" t="s">
        <v>815</v>
      </c>
      <c r="L34" s="80">
        <v>2584</v>
      </c>
      <c r="M34" s="80"/>
      <c r="N34" s="80" t="s">
        <v>816</v>
      </c>
    </row>
    <row r="35" spans="1:14" ht="24">
      <c r="A35" s="107" t="s">
        <v>817</v>
      </c>
      <c r="B35" s="107"/>
      <c r="C35" s="107"/>
      <c r="D35" s="107"/>
      <c r="E35" s="107"/>
      <c r="F35" s="107"/>
      <c r="G35" s="107"/>
      <c r="H35" s="107"/>
      <c r="I35" s="82">
        <v>306233</v>
      </c>
      <c r="J35" s="80">
        <v>125301</v>
      </c>
      <c r="K35" s="80" t="s">
        <v>818</v>
      </c>
      <c r="L35" s="80">
        <v>19070</v>
      </c>
      <c r="M35" s="80"/>
      <c r="N35" s="80" t="s">
        <v>816</v>
      </c>
    </row>
    <row r="36" spans="1:14" ht="12">
      <c r="A36" s="107" t="s">
        <v>819</v>
      </c>
      <c r="B36" s="107"/>
      <c r="C36" s="107"/>
      <c r="D36" s="107"/>
      <c r="E36" s="107"/>
      <c r="F36" s="107"/>
      <c r="G36" s="107"/>
      <c r="H36" s="107"/>
      <c r="I36" s="82">
        <v>115792</v>
      </c>
      <c r="J36" s="80"/>
      <c r="K36" s="80"/>
      <c r="L36" s="80"/>
      <c r="M36" s="80"/>
      <c r="N36" s="80"/>
    </row>
    <row r="37" spans="1:14" ht="12">
      <c r="A37" s="107" t="s">
        <v>820</v>
      </c>
      <c r="B37" s="107"/>
      <c r="C37" s="107"/>
      <c r="D37" s="107"/>
      <c r="E37" s="107"/>
      <c r="F37" s="107"/>
      <c r="G37" s="107"/>
      <c r="H37" s="107"/>
      <c r="I37" s="82">
        <v>67884</v>
      </c>
      <c r="J37" s="80"/>
      <c r="K37" s="80"/>
      <c r="L37" s="80"/>
      <c r="M37" s="80"/>
      <c r="N37" s="80"/>
    </row>
    <row r="38" spans="1:14" ht="12">
      <c r="A38" s="108" t="s">
        <v>821</v>
      </c>
      <c r="B38" s="108"/>
      <c r="C38" s="108"/>
      <c r="D38" s="108"/>
      <c r="E38" s="108"/>
      <c r="F38" s="108"/>
      <c r="G38" s="108"/>
      <c r="H38" s="108"/>
      <c r="I38" s="82"/>
      <c r="J38" s="80"/>
      <c r="K38" s="80"/>
      <c r="L38" s="80"/>
      <c r="M38" s="80"/>
      <c r="N38" s="80"/>
    </row>
    <row r="39" spans="1:14" ht="24" customHeight="1">
      <c r="A39" s="107" t="s">
        <v>822</v>
      </c>
      <c r="B39" s="107"/>
      <c r="C39" s="107"/>
      <c r="D39" s="107"/>
      <c r="E39" s="107"/>
      <c r="F39" s="107"/>
      <c r="G39" s="107"/>
      <c r="H39" s="107"/>
      <c r="I39" s="82">
        <v>85575</v>
      </c>
      <c r="J39" s="80"/>
      <c r="K39" s="80"/>
      <c r="L39" s="80"/>
      <c r="M39" s="80"/>
      <c r="N39" s="80" t="s">
        <v>823</v>
      </c>
    </row>
    <row r="40" spans="1:14" ht="24" customHeight="1">
      <c r="A40" s="107" t="s">
        <v>824</v>
      </c>
      <c r="B40" s="107"/>
      <c r="C40" s="107"/>
      <c r="D40" s="107"/>
      <c r="E40" s="107"/>
      <c r="F40" s="107"/>
      <c r="G40" s="107"/>
      <c r="H40" s="107"/>
      <c r="I40" s="82">
        <v>140053</v>
      </c>
      <c r="J40" s="80"/>
      <c r="K40" s="80"/>
      <c r="L40" s="80"/>
      <c r="M40" s="80"/>
      <c r="N40" s="80" t="s">
        <v>825</v>
      </c>
    </row>
    <row r="41" spans="1:14" ht="12">
      <c r="A41" s="107" t="s">
        <v>826</v>
      </c>
      <c r="B41" s="107"/>
      <c r="C41" s="107"/>
      <c r="D41" s="107"/>
      <c r="E41" s="107"/>
      <c r="F41" s="107"/>
      <c r="G41" s="107"/>
      <c r="H41" s="107"/>
      <c r="I41" s="82">
        <v>6971</v>
      </c>
      <c r="J41" s="80"/>
      <c r="K41" s="80"/>
      <c r="L41" s="80"/>
      <c r="M41" s="80"/>
      <c r="N41" s="80">
        <v>23.99</v>
      </c>
    </row>
    <row r="42" spans="1:14" ht="12">
      <c r="A42" s="107" t="s">
        <v>827</v>
      </c>
      <c r="B42" s="107"/>
      <c r="C42" s="107"/>
      <c r="D42" s="107"/>
      <c r="E42" s="107"/>
      <c r="F42" s="107"/>
      <c r="G42" s="107"/>
      <c r="H42" s="107"/>
      <c r="I42" s="82">
        <v>141640</v>
      </c>
      <c r="J42" s="80"/>
      <c r="K42" s="80"/>
      <c r="L42" s="80"/>
      <c r="M42" s="80"/>
      <c r="N42" s="80">
        <v>500.1</v>
      </c>
    </row>
    <row r="43" spans="1:14" ht="12">
      <c r="A43" s="107" t="s">
        <v>828</v>
      </c>
      <c r="B43" s="107"/>
      <c r="C43" s="107"/>
      <c r="D43" s="107"/>
      <c r="E43" s="107"/>
      <c r="F43" s="107"/>
      <c r="G43" s="107"/>
      <c r="H43" s="107"/>
      <c r="I43" s="82">
        <v>91477</v>
      </c>
      <c r="J43" s="80"/>
      <c r="K43" s="80"/>
      <c r="L43" s="80"/>
      <c r="M43" s="80"/>
      <c r="N43" s="80"/>
    </row>
    <row r="44" spans="1:14" ht="12">
      <c r="A44" s="107" t="s">
        <v>829</v>
      </c>
      <c r="B44" s="107"/>
      <c r="C44" s="107"/>
      <c r="D44" s="107"/>
      <c r="E44" s="107"/>
      <c r="F44" s="107"/>
      <c r="G44" s="107"/>
      <c r="H44" s="107"/>
      <c r="I44" s="82">
        <v>24193</v>
      </c>
      <c r="J44" s="80"/>
      <c r="K44" s="80"/>
      <c r="L44" s="80"/>
      <c r="M44" s="80"/>
      <c r="N44" s="80"/>
    </row>
    <row r="45" spans="1:14" ht="24">
      <c r="A45" s="107" t="s">
        <v>830</v>
      </c>
      <c r="B45" s="107"/>
      <c r="C45" s="107"/>
      <c r="D45" s="107"/>
      <c r="E45" s="107"/>
      <c r="F45" s="107"/>
      <c r="G45" s="107"/>
      <c r="H45" s="107"/>
      <c r="I45" s="82">
        <v>489909</v>
      </c>
      <c r="J45" s="80"/>
      <c r="K45" s="80"/>
      <c r="L45" s="80"/>
      <c r="M45" s="80"/>
      <c r="N45" s="80" t="s">
        <v>816</v>
      </c>
    </row>
    <row r="46" spans="1:14" ht="12">
      <c r="A46" s="107" t="s">
        <v>831</v>
      </c>
      <c r="B46" s="107"/>
      <c r="C46" s="107"/>
      <c r="D46" s="107"/>
      <c r="E46" s="107"/>
      <c r="F46" s="107"/>
      <c r="G46" s="107"/>
      <c r="H46" s="107"/>
      <c r="I46" s="82"/>
      <c r="J46" s="80"/>
      <c r="K46" s="80"/>
      <c r="L46" s="80"/>
      <c r="M46" s="80"/>
      <c r="N46" s="80"/>
    </row>
    <row r="47" spans="1:14" ht="12">
      <c r="A47" s="107" t="s">
        <v>832</v>
      </c>
      <c r="B47" s="107"/>
      <c r="C47" s="107"/>
      <c r="D47" s="107"/>
      <c r="E47" s="107"/>
      <c r="F47" s="107"/>
      <c r="G47" s="107"/>
      <c r="H47" s="107"/>
      <c r="I47" s="82">
        <v>19070</v>
      </c>
      <c r="J47" s="80"/>
      <c r="K47" s="80"/>
      <c r="L47" s="80"/>
      <c r="M47" s="80"/>
      <c r="N47" s="80"/>
    </row>
    <row r="48" spans="1:14" ht="12">
      <c r="A48" s="107" t="s">
        <v>833</v>
      </c>
      <c r="B48" s="107"/>
      <c r="C48" s="107"/>
      <c r="D48" s="107"/>
      <c r="E48" s="107"/>
      <c r="F48" s="107"/>
      <c r="G48" s="107"/>
      <c r="H48" s="107"/>
      <c r="I48" s="82">
        <v>161862</v>
      </c>
      <c r="J48" s="80"/>
      <c r="K48" s="80"/>
      <c r="L48" s="80"/>
      <c r="M48" s="80"/>
      <c r="N48" s="80"/>
    </row>
    <row r="49" spans="1:14" ht="12">
      <c r="A49" s="107" t="s">
        <v>834</v>
      </c>
      <c r="B49" s="107"/>
      <c r="C49" s="107"/>
      <c r="D49" s="107"/>
      <c r="E49" s="107"/>
      <c r="F49" s="107"/>
      <c r="G49" s="107"/>
      <c r="H49" s="107"/>
      <c r="I49" s="82">
        <v>134727</v>
      </c>
      <c r="J49" s="80"/>
      <c r="K49" s="80"/>
      <c r="L49" s="80"/>
      <c r="M49" s="80"/>
      <c r="N49" s="80"/>
    </row>
    <row r="50" spans="1:14" ht="12">
      <c r="A50" s="107" t="s">
        <v>835</v>
      </c>
      <c r="B50" s="107"/>
      <c r="C50" s="107"/>
      <c r="D50" s="107"/>
      <c r="E50" s="107"/>
      <c r="F50" s="107"/>
      <c r="G50" s="107"/>
      <c r="H50" s="107"/>
      <c r="I50" s="82">
        <v>115792</v>
      </c>
      <c r="J50" s="80"/>
      <c r="K50" s="80"/>
      <c r="L50" s="80"/>
      <c r="M50" s="80"/>
      <c r="N50" s="80"/>
    </row>
    <row r="51" spans="1:14" ht="12">
      <c r="A51" s="107" t="s">
        <v>836</v>
      </c>
      <c r="B51" s="107"/>
      <c r="C51" s="107"/>
      <c r="D51" s="107"/>
      <c r="E51" s="107"/>
      <c r="F51" s="107"/>
      <c r="G51" s="107"/>
      <c r="H51" s="107"/>
      <c r="I51" s="82">
        <v>67884</v>
      </c>
      <c r="J51" s="80"/>
      <c r="K51" s="80"/>
      <c r="L51" s="80"/>
      <c r="M51" s="80"/>
      <c r="N51" s="80"/>
    </row>
    <row r="52" spans="1:14" ht="24">
      <c r="A52" s="108" t="s">
        <v>837</v>
      </c>
      <c r="B52" s="108"/>
      <c r="C52" s="108"/>
      <c r="D52" s="108"/>
      <c r="E52" s="108"/>
      <c r="F52" s="108"/>
      <c r="G52" s="108"/>
      <c r="H52" s="108"/>
      <c r="I52" s="82">
        <v>489909</v>
      </c>
      <c r="J52" s="80"/>
      <c r="K52" s="80"/>
      <c r="L52" s="80"/>
      <c r="M52" s="80"/>
      <c r="N52" s="80" t="s">
        <v>816</v>
      </c>
    </row>
    <row r="53" spans="1:14" ht="17.25" customHeight="1">
      <c r="A53" s="108" t="s">
        <v>838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1:14" ht="96">
      <c r="A54" s="78">
        <v>14</v>
      </c>
      <c r="B54" s="79" t="s">
        <v>839</v>
      </c>
      <c r="C54" s="79" t="s">
        <v>840</v>
      </c>
      <c r="D54" s="78">
        <v>0.035</v>
      </c>
      <c r="E54" s="80" t="s">
        <v>841</v>
      </c>
      <c r="F54" s="80" t="s">
        <v>842</v>
      </c>
      <c r="G54" s="80">
        <v>81187.86</v>
      </c>
      <c r="H54" s="81" t="s">
        <v>843</v>
      </c>
      <c r="I54" s="82">
        <v>18314</v>
      </c>
      <c r="J54" s="80">
        <v>3389</v>
      </c>
      <c r="K54" s="80" t="s">
        <v>844</v>
      </c>
      <c r="L54" s="80" t="str">
        <f>IF(0.035*81187.86=0," ",TEXT(,ROUND((0.035*81187.86*4.63),2)))</f>
        <v>13156.49</v>
      </c>
      <c r="M54" s="80" t="s">
        <v>845</v>
      </c>
      <c r="N54" s="80" t="s">
        <v>846</v>
      </c>
    </row>
    <row r="55" spans="1:14" ht="180">
      <c r="A55" s="78">
        <v>15</v>
      </c>
      <c r="B55" s="79" t="s">
        <v>754</v>
      </c>
      <c r="C55" s="79" t="s">
        <v>847</v>
      </c>
      <c r="D55" s="78">
        <v>0.44</v>
      </c>
      <c r="E55" s="80" t="s">
        <v>848</v>
      </c>
      <c r="F55" s="80" t="s">
        <v>849</v>
      </c>
      <c r="G55" s="80">
        <v>1715.34</v>
      </c>
      <c r="H55" s="81" t="s">
        <v>758</v>
      </c>
      <c r="I55" s="82">
        <v>18128</v>
      </c>
      <c r="J55" s="80">
        <v>11564</v>
      </c>
      <c r="K55" s="80" t="s">
        <v>850</v>
      </c>
      <c r="L55" s="80" t="str">
        <f>IF(0.44*1715.34=0," ",TEXT(,ROUND((0.44*1715.34*5.75),2)))</f>
        <v>4339.81</v>
      </c>
      <c r="M55" s="80" t="s">
        <v>851</v>
      </c>
      <c r="N55" s="80" t="s">
        <v>852</v>
      </c>
    </row>
    <row r="56" spans="1:14" ht="60">
      <c r="A56" s="78">
        <v>16</v>
      </c>
      <c r="B56" s="79" t="s">
        <v>853</v>
      </c>
      <c r="C56" s="79" t="s">
        <v>854</v>
      </c>
      <c r="D56" s="78">
        <v>44</v>
      </c>
      <c r="E56" s="80">
        <v>37.24</v>
      </c>
      <c r="F56" s="80"/>
      <c r="G56" s="80">
        <v>37.24</v>
      </c>
      <c r="H56" s="81" t="s">
        <v>855</v>
      </c>
      <c r="I56" s="82">
        <v>20912</v>
      </c>
      <c r="J56" s="80"/>
      <c r="K56" s="80"/>
      <c r="L56" s="80" t="str">
        <f>IF(44*37.24=0," ",TEXT(,ROUND((44*37.24*12.759),2)))</f>
        <v>20906.39</v>
      </c>
      <c r="M56" s="80"/>
      <c r="N56" s="80"/>
    </row>
    <row r="57" spans="1:14" ht="168">
      <c r="A57" s="78">
        <v>17</v>
      </c>
      <c r="B57" s="79" t="s">
        <v>856</v>
      </c>
      <c r="C57" s="79" t="s">
        <v>857</v>
      </c>
      <c r="D57" s="78">
        <v>3.7946</v>
      </c>
      <c r="E57" s="80" t="s">
        <v>858</v>
      </c>
      <c r="F57" s="80" t="s">
        <v>859</v>
      </c>
      <c r="G57" s="80">
        <v>85.51</v>
      </c>
      <c r="H57" s="81" t="s">
        <v>860</v>
      </c>
      <c r="I57" s="82">
        <v>31331</v>
      </c>
      <c r="J57" s="80">
        <v>12387</v>
      </c>
      <c r="K57" s="80" t="s">
        <v>861</v>
      </c>
      <c r="L57" s="80" t="str">
        <f>IF(3.7946*85.51=0," ",TEXT(,ROUND((3.7946*85.51*5.55),2)))</f>
        <v>1800.84</v>
      </c>
      <c r="M57" s="80" t="s">
        <v>862</v>
      </c>
      <c r="N57" s="80" t="s">
        <v>863</v>
      </c>
    </row>
    <row r="58" spans="1:14" ht="84">
      <c r="A58" s="78">
        <v>18</v>
      </c>
      <c r="B58" s="79" t="s">
        <v>864</v>
      </c>
      <c r="C58" s="79" t="s">
        <v>865</v>
      </c>
      <c r="D58" s="78">
        <v>3.795</v>
      </c>
      <c r="E58" s="80">
        <v>6536.6</v>
      </c>
      <c r="F58" s="80"/>
      <c r="G58" s="80">
        <v>6536.6</v>
      </c>
      <c r="H58" s="81" t="s">
        <v>866</v>
      </c>
      <c r="I58" s="82">
        <v>246348</v>
      </c>
      <c r="J58" s="80"/>
      <c r="K58" s="80"/>
      <c r="L58" s="80" t="str">
        <f>IF(3.795*6536.6=0," ",TEXT(,ROUND((3.795*6536.6*9.931),2)))</f>
        <v>246352.33</v>
      </c>
      <c r="M58" s="80"/>
      <c r="N58" s="80"/>
    </row>
    <row r="59" spans="1:14" ht="192">
      <c r="A59" s="78">
        <v>19</v>
      </c>
      <c r="B59" s="79" t="s">
        <v>867</v>
      </c>
      <c r="C59" s="79" t="s">
        <v>868</v>
      </c>
      <c r="D59" s="78">
        <v>2.164</v>
      </c>
      <c r="E59" s="80" t="s">
        <v>869</v>
      </c>
      <c r="F59" s="80" t="s">
        <v>870</v>
      </c>
      <c r="G59" s="80">
        <v>232.35</v>
      </c>
      <c r="H59" s="81" t="s">
        <v>871</v>
      </c>
      <c r="I59" s="82">
        <v>50713</v>
      </c>
      <c r="J59" s="80">
        <v>28294</v>
      </c>
      <c r="K59" s="80" t="s">
        <v>872</v>
      </c>
      <c r="L59" s="80" t="str">
        <f>IF(2.164*232.35=0," ",TEXT(,ROUND((2.164*232.35*6.27),2)))</f>
        <v>3152.59</v>
      </c>
      <c r="M59" s="80" t="s">
        <v>873</v>
      </c>
      <c r="N59" s="80" t="s">
        <v>874</v>
      </c>
    </row>
    <row r="60" spans="1:14" ht="84">
      <c r="A60" s="78">
        <v>20</v>
      </c>
      <c r="B60" s="79" t="s">
        <v>875</v>
      </c>
      <c r="C60" s="79" t="s">
        <v>876</v>
      </c>
      <c r="D60" s="78">
        <v>2.164</v>
      </c>
      <c r="E60" s="80">
        <v>6965</v>
      </c>
      <c r="F60" s="80"/>
      <c r="G60" s="80">
        <v>6965</v>
      </c>
      <c r="H60" s="81" t="s">
        <v>877</v>
      </c>
      <c r="I60" s="82">
        <v>149680</v>
      </c>
      <c r="J60" s="80"/>
      <c r="K60" s="80"/>
      <c r="L60" s="80" t="str">
        <f>IF(2.164*6965=0," ",TEXT(,ROUND((2.164*6965*9.931),2)))</f>
        <v>149682.61</v>
      </c>
      <c r="M60" s="80"/>
      <c r="N60" s="80"/>
    </row>
    <row r="61" spans="1:14" ht="168">
      <c r="A61" s="78">
        <v>21</v>
      </c>
      <c r="B61" s="79" t="s">
        <v>878</v>
      </c>
      <c r="C61" s="79" t="s">
        <v>879</v>
      </c>
      <c r="D61" s="78">
        <v>1.7</v>
      </c>
      <c r="E61" s="80" t="s">
        <v>880</v>
      </c>
      <c r="F61" s="80" t="s">
        <v>881</v>
      </c>
      <c r="G61" s="80">
        <v>281.28</v>
      </c>
      <c r="H61" s="81" t="s">
        <v>882</v>
      </c>
      <c r="I61" s="82">
        <v>3940</v>
      </c>
      <c r="J61" s="80">
        <v>1398</v>
      </c>
      <c r="K61" s="80">
        <v>181</v>
      </c>
      <c r="L61" s="80" t="str">
        <f>IF(1.7*281.28=0," ",TEXT(,ROUND((1.7*281.28*4.94),2)))</f>
        <v>2362.19</v>
      </c>
      <c r="M61" s="80" t="s">
        <v>883</v>
      </c>
      <c r="N61" s="80" t="s">
        <v>884</v>
      </c>
    </row>
    <row r="62" spans="1:14" ht="17.25" customHeight="1">
      <c r="A62" s="109" t="s">
        <v>885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4" ht="156">
      <c r="A63" s="78">
        <v>22</v>
      </c>
      <c r="B63" s="79" t="s">
        <v>886</v>
      </c>
      <c r="C63" s="79" t="s">
        <v>887</v>
      </c>
      <c r="D63" s="78">
        <v>13.24</v>
      </c>
      <c r="E63" s="80" t="s">
        <v>888</v>
      </c>
      <c r="F63" s="80">
        <v>52.36</v>
      </c>
      <c r="G63" s="80">
        <v>2189</v>
      </c>
      <c r="H63" s="81" t="s">
        <v>889</v>
      </c>
      <c r="I63" s="82">
        <v>164386</v>
      </c>
      <c r="J63" s="80">
        <v>59039</v>
      </c>
      <c r="K63" s="80">
        <v>7678</v>
      </c>
      <c r="L63" s="80" t="str">
        <f>IF(13.24*2189=0," ",TEXT(,ROUND((13.24*2189*3.37),2)))</f>
        <v>97670.55</v>
      </c>
      <c r="M63" s="80">
        <v>32.3438</v>
      </c>
      <c r="N63" s="80">
        <v>428.23</v>
      </c>
    </row>
    <row r="64" spans="1:14" ht="156">
      <c r="A64" s="78">
        <v>23</v>
      </c>
      <c r="B64" s="79" t="s">
        <v>890</v>
      </c>
      <c r="C64" s="79" t="s">
        <v>891</v>
      </c>
      <c r="D64" s="78">
        <v>29.26</v>
      </c>
      <c r="E64" s="80" t="s">
        <v>892</v>
      </c>
      <c r="F64" s="80" t="s">
        <v>893</v>
      </c>
      <c r="G64" s="80">
        <v>2062.26</v>
      </c>
      <c r="H64" s="81" t="s">
        <v>894</v>
      </c>
      <c r="I64" s="82">
        <v>381228</v>
      </c>
      <c r="J64" s="80">
        <v>138509</v>
      </c>
      <c r="K64" s="80" t="s">
        <v>895</v>
      </c>
      <c r="L64" s="80" t="str">
        <f>IF(29.26*2062.26=0," ",TEXT(,ROUND((29.26*2062.26*3.71),2)))</f>
        <v>223867.81</v>
      </c>
      <c r="M64" s="80" t="s">
        <v>896</v>
      </c>
      <c r="N64" s="80" t="s">
        <v>897</v>
      </c>
    </row>
    <row r="65" spans="1:14" ht="84">
      <c r="A65" s="78">
        <v>24</v>
      </c>
      <c r="B65" s="79" t="s">
        <v>898</v>
      </c>
      <c r="C65" s="79" t="s">
        <v>899</v>
      </c>
      <c r="D65" s="78">
        <v>3.414</v>
      </c>
      <c r="E65" s="80" t="s">
        <v>900</v>
      </c>
      <c r="F65" s="80" t="s">
        <v>901</v>
      </c>
      <c r="G65" s="80">
        <v>2198.68</v>
      </c>
      <c r="H65" s="81" t="s">
        <v>902</v>
      </c>
      <c r="I65" s="82">
        <v>60848</v>
      </c>
      <c r="J65" s="80">
        <v>17750</v>
      </c>
      <c r="K65" s="80" t="s">
        <v>903</v>
      </c>
      <c r="L65" s="80" t="str">
        <f>IF(3.414*2198.68=0," ",TEXT(,ROUND((3.414*2198.68*5.51),2)))</f>
        <v>41359.68</v>
      </c>
      <c r="M65" s="80" t="s">
        <v>904</v>
      </c>
      <c r="N65" s="80" t="s">
        <v>905</v>
      </c>
    </row>
    <row r="66" spans="1:14" ht="96">
      <c r="A66" s="78">
        <v>25</v>
      </c>
      <c r="B66" s="79" t="s">
        <v>906</v>
      </c>
      <c r="C66" s="79" t="s">
        <v>907</v>
      </c>
      <c r="D66" s="78">
        <v>5.603</v>
      </c>
      <c r="E66" s="80" t="s">
        <v>908</v>
      </c>
      <c r="F66" s="80" t="s">
        <v>909</v>
      </c>
      <c r="G66" s="80">
        <v>1570.73</v>
      </c>
      <c r="H66" s="81" t="s">
        <v>910</v>
      </c>
      <c r="I66" s="82">
        <v>67559</v>
      </c>
      <c r="J66" s="80">
        <v>19526</v>
      </c>
      <c r="K66" s="80" t="s">
        <v>911</v>
      </c>
      <c r="L66" s="80" t="str">
        <f>IF(5.603*1570.73=0," ",TEXT(,ROUND((5.603*1570.73*5.25),2)))</f>
        <v>46204.2</v>
      </c>
      <c r="M66" s="80" t="s">
        <v>912</v>
      </c>
      <c r="N66" s="80" t="s">
        <v>913</v>
      </c>
    </row>
    <row r="67" spans="1:14" ht="168">
      <c r="A67" s="78">
        <v>26</v>
      </c>
      <c r="B67" s="79" t="s">
        <v>914</v>
      </c>
      <c r="C67" s="79" t="s">
        <v>915</v>
      </c>
      <c r="D67" s="78">
        <v>0.1492</v>
      </c>
      <c r="E67" s="80" t="s">
        <v>916</v>
      </c>
      <c r="F67" s="80" t="s">
        <v>917</v>
      </c>
      <c r="G67" s="80">
        <v>1532.8</v>
      </c>
      <c r="H67" s="81" t="s">
        <v>918</v>
      </c>
      <c r="I67" s="82">
        <v>2667</v>
      </c>
      <c r="J67" s="80">
        <v>1448</v>
      </c>
      <c r="K67" s="80">
        <v>33</v>
      </c>
      <c r="L67" s="80" t="str">
        <f>IF(0.1492*1532.8=0," ",TEXT(,ROUND((0.1492*1532.8*5.18),2)))</f>
        <v>1184.63</v>
      </c>
      <c r="M67" s="80" t="s">
        <v>919</v>
      </c>
      <c r="N67" s="80" t="s">
        <v>920</v>
      </c>
    </row>
    <row r="68" spans="1:14" ht="216">
      <c r="A68" s="78">
        <v>27</v>
      </c>
      <c r="B68" s="79" t="s">
        <v>921</v>
      </c>
      <c r="C68" s="79" t="s">
        <v>922</v>
      </c>
      <c r="D68" s="78">
        <v>0.1492</v>
      </c>
      <c r="E68" s="80" t="s">
        <v>923</v>
      </c>
      <c r="F68" s="80" t="s">
        <v>924</v>
      </c>
      <c r="G68" s="80">
        <v>2168.52</v>
      </c>
      <c r="H68" s="81" t="s">
        <v>918</v>
      </c>
      <c r="I68" s="82">
        <v>2967</v>
      </c>
      <c r="J68" s="80">
        <v>1234</v>
      </c>
      <c r="K68" s="80">
        <v>55</v>
      </c>
      <c r="L68" s="80" t="str">
        <f>IF(0.1492*2168.52=0," ",TEXT(,ROUND((0.1492*2168.52*5.18),2)))</f>
        <v>1675.95</v>
      </c>
      <c r="M68" s="80" t="s">
        <v>925</v>
      </c>
      <c r="N68" s="80" t="s">
        <v>926</v>
      </c>
    </row>
    <row r="69" spans="1:14" ht="60">
      <c r="A69" s="78">
        <v>28</v>
      </c>
      <c r="B69" s="79" t="s">
        <v>927</v>
      </c>
      <c r="C69" s="79" t="s">
        <v>928</v>
      </c>
      <c r="D69" s="78">
        <v>-0.761</v>
      </c>
      <c r="E69" s="80">
        <v>665</v>
      </c>
      <c r="F69" s="80"/>
      <c r="G69" s="80">
        <v>665</v>
      </c>
      <c r="H69" s="81" t="s">
        <v>929</v>
      </c>
      <c r="I69" s="82">
        <v>-2651</v>
      </c>
      <c r="J69" s="80"/>
      <c r="K69" s="80"/>
      <c r="L69" s="80" t="str">
        <f>IF(-0.761*665=0," ",TEXT(,ROUND((-0.761*665*5.24),2)))</f>
        <v>-2651.78</v>
      </c>
      <c r="M69" s="80"/>
      <c r="N69" s="80"/>
    </row>
    <row r="70" spans="1:14" ht="60">
      <c r="A70" s="78">
        <v>29</v>
      </c>
      <c r="B70" s="79" t="s">
        <v>930</v>
      </c>
      <c r="C70" s="79" t="s">
        <v>931</v>
      </c>
      <c r="D70" s="78">
        <v>0.761</v>
      </c>
      <c r="E70" s="80">
        <v>548.3</v>
      </c>
      <c r="F70" s="80"/>
      <c r="G70" s="80">
        <v>548.3</v>
      </c>
      <c r="H70" s="81" t="s">
        <v>932</v>
      </c>
      <c r="I70" s="82">
        <v>2660</v>
      </c>
      <c r="J70" s="80"/>
      <c r="K70" s="80"/>
      <c r="L70" s="80" t="str">
        <f>IF(0.761*548.3=0," ",TEXT(,ROUND((0.761*548.3*6.38),2)))</f>
        <v>2662.1</v>
      </c>
      <c r="M70" s="80"/>
      <c r="N70" s="80"/>
    </row>
    <row r="71" spans="1:14" ht="96">
      <c r="A71" s="78">
        <v>30</v>
      </c>
      <c r="B71" s="79" t="s">
        <v>839</v>
      </c>
      <c r="C71" s="79" t="s">
        <v>933</v>
      </c>
      <c r="D71" s="78">
        <v>0.029</v>
      </c>
      <c r="E71" s="80" t="s">
        <v>841</v>
      </c>
      <c r="F71" s="80" t="s">
        <v>842</v>
      </c>
      <c r="G71" s="80">
        <v>81187.86</v>
      </c>
      <c r="H71" s="81" t="s">
        <v>843</v>
      </c>
      <c r="I71" s="82">
        <v>15183</v>
      </c>
      <c r="J71" s="80">
        <v>2813</v>
      </c>
      <c r="K71" s="80" t="s">
        <v>934</v>
      </c>
      <c r="L71" s="80" t="str">
        <f>IF(0.029*81187.86=0," ",TEXT(,ROUND((0.029*81187.86*4.63),2)))</f>
        <v>10901.09</v>
      </c>
      <c r="M71" s="80" t="s">
        <v>845</v>
      </c>
      <c r="N71" s="80" t="s">
        <v>935</v>
      </c>
    </row>
    <row r="72" spans="1:14" ht="72">
      <c r="A72" s="78">
        <v>31</v>
      </c>
      <c r="B72" s="79" t="s">
        <v>936</v>
      </c>
      <c r="C72" s="79" t="s">
        <v>937</v>
      </c>
      <c r="D72" s="78">
        <v>0.4</v>
      </c>
      <c r="E72" s="80" t="s">
        <v>938</v>
      </c>
      <c r="F72" s="80">
        <v>18.31</v>
      </c>
      <c r="G72" s="80"/>
      <c r="H72" s="81" t="s">
        <v>939</v>
      </c>
      <c r="I72" s="82">
        <v>538</v>
      </c>
      <c r="J72" s="80">
        <v>494</v>
      </c>
      <c r="K72" s="80">
        <v>44</v>
      </c>
      <c r="L72" s="80" t="str">
        <f>IF(0.4*0=0," ",TEXT(,ROUND((0.4*0*1),2)))</f>
        <v> </v>
      </c>
      <c r="M72" s="80">
        <v>8.7</v>
      </c>
      <c r="N72" s="80">
        <v>3.48</v>
      </c>
    </row>
    <row r="73" spans="1:14" ht="60">
      <c r="A73" s="78">
        <v>32</v>
      </c>
      <c r="B73" s="79" t="s">
        <v>940</v>
      </c>
      <c r="C73" s="79" t="s">
        <v>941</v>
      </c>
      <c r="D73" s="78">
        <v>0.0106</v>
      </c>
      <c r="E73" s="80">
        <v>7997.23</v>
      </c>
      <c r="F73" s="80"/>
      <c r="G73" s="80">
        <v>7997.23</v>
      </c>
      <c r="H73" s="81" t="s">
        <v>942</v>
      </c>
      <c r="I73" s="82">
        <v>308</v>
      </c>
      <c r="J73" s="80"/>
      <c r="K73" s="80"/>
      <c r="L73" s="80" t="str">
        <f>IF(0.0106*7997.23=0," ",TEXT(,ROUND((0.0106*7997.23*3.624),2)))</f>
        <v>307.21</v>
      </c>
      <c r="M73" s="80"/>
      <c r="N73" s="80"/>
    </row>
    <row r="74" spans="1:14" ht="72">
      <c r="A74" s="78">
        <v>33</v>
      </c>
      <c r="B74" s="79" t="s">
        <v>943</v>
      </c>
      <c r="C74" s="79" t="s">
        <v>944</v>
      </c>
      <c r="D74" s="78">
        <v>0.42</v>
      </c>
      <c r="E74" s="80" t="s">
        <v>945</v>
      </c>
      <c r="F74" s="80">
        <v>39.07</v>
      </c>
      <c r="G74" s="80"/>
      <c r="H74" s="81" t="s">
        <v>939</v>
      </c>
      <c r="I74" s="82">
        <v>1055</v>
      </c>
      <c r="J74" s="80">
        <v>954</v>
      </c>
      <c r="K74" s="80">
        <v>101</v>
      </c>
      <c r="L74" s="80" t="str">
        <f>IF(0.42*0=0," ",TEXT(,ROUND((0.42*0*1),2)))</f>
        <v> </v>
      </c>
      <c r="M74" s="80">
        <v>15.95</v>
      </c>
      <c r="N74" s="80">
        <v>6.7</v>
      </c>
    </row>
    <row r="75" spans="1:14" ht="60">
      <c r="A75" s="78">
        <v>34</v>
      </c>
      <c r="B75" s="79" t="s">
        <v>946</v>
      </c>
      <c r="C75" s="79" t="s">
        <v>947</v>
      </c>
      <c r="D75" s="78">
        <v>0.0311</v>
      </c>
      <c r="E75" s="80">
        <v>5520</v>
      </c>
      <c r="F75" s="80"/>
      <c r="G75" s="80">
        <v>5520</v>
      </c>
      <c r="H75" s="81" t="s">
        <v>948</v>
      </c>
      <c r="I75" s="82">
        <v>892</v>
      </c>
      <c r="J75" s="80"/>
      <c r="K75" s="80"/>
      <c r="L75" s="80" t="str">
        <f>IF(0.0311*5520=0," ",TEXT(,ROUND((0.0311*5520*5.187),2)))</f>
        <v>890.46</v>
      </c>
      <c r="M75" s="80"/>
      <c r="N75" s="80"/>
    </row>
    <row r="76" spans="1:14" ht="168">
      <c r="A76" s="78">
        <v>35</v>
      </c>
      <c r="B76" s="79" t="s">
        <v>949</v>
      </c>
      <c r="C76" s="79" t="s">
        <v>950</v>
      </c>
      <c r="D76" s="78">
        <v>0.124</v>
      </c>
      <c r="E76" s="80" t="s">
        <v>951</v>
      </c>
      <c r="F76" s="80">
        <v>409.23</v>
      </c>
      <c r="G76" s="80">
        <v>10421.96</v>
      </c>
      <c r="H76" s="81" t="s">
        <v>952</v>
      </c>
      <c r="I76" s="82">
        <v>10341</v>
      </c>
      <c r="J76" s="80">
        <v>1283</v>
      </c>
      <c r="K76" s="80">
        <v>389</v>
      </c>
      <c r="L76" s="80" t="str">
        <f>IF(0.124*10421.96=0," ",TEXT(,ROUND((0.124*10421.96*6.71),2)))</f>
        <v>8671.49</v>
      </c>
      <c r="M76" s="80">
        <v>61.3812</v>
      </c>
      <c r="N76" s="80">
        <v>7.61</v>
      </c>
    </row>
    <row r="77" spans="1:14" ht="17.25" customHeight="1">
      <c r="A77" s="109" t="s">
        <v>953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  <row r="78" spans="1:14" ht="168">
      <c r="A78" s="78">
        <v>36</v>
      </c>
      <c r="B78" s="79" t="s">
        <v>954</v>
      </c>
      <c r="C78" s="79" t="s">
        <v>116</v>
      </c>
      <c r="D78" s="78">
        <v>0.876</v>
      </c>
      <c r="E78" s="80" t="s">
        <v>117</v>
      </c>
      <c r="F78" s="80">
        <v>124.7</v>
      </c>
      <c r="G78" s="80">
        <v>4013.93</v>
      </c>
      <c r="H78" s="81" t="s">
        <v>118</v>
      </c>
      <c r="I78" s="82">
        <v>49394</v>
      </c>
      <c r="J78" s="80">
        <v>25267</v>
      </c>
      <c r="K78" s="80">
        <v>1238</v>
      </c>
      <c r="L78" s="80" t="str">
        <f>IF(0.876*4013.93=0," ",TEXT(,ROUND((0.876*4013.93*6.51),2)))</f>
        <v>22890.48</v>
      </c>
      <c r="M78" s="80">
        <v>205.5625</v>
      </c>
      <c r="N78" s="80">
        <v>180.07</v>
      </c>
    </row>
    <row r="79" spans="1:14" ht="72">
      <c r="A79" s="78">
        <v>37</v>
      </c>
      <c r="B79" s="79" t="s">
        <v>119</v>
      </c>
      <c r="C79" s="79" t="s">
        <v>120</v>
      </c>
      <c r="D79" s="78">
        <v>-0.9286</v>
      </c>
      <c r="E79" s="80">
        <v>1784</v>
      </c>
      <c r="F79" s="80"/>
      <c r="G79" s="80">
        <v>1784</v>
      </c>
      <c r="H79" s="81" t="s">
        <v>121</v>
      </c>
      <c r="I79" s="82">
        <v>-15569</v>
      </c>
      <c r="J79" s="80"/>
      <c r="K79" s="80"/>
      <c r="L79" s="80" t="str">
        <f>IF(-0.9286*1784=0," ",TEXT(,ROUND((-0.9286*1784*9.396),2)))</f>
        <v>-15565.62</v>
      </c>
      <c r="M79" s="80"/>
      <c r="N79" s="80"/>
    </row>
    <row r="80" spans="1:14" ht="60">
      <c r="A80" s="78">
        <v>38</v>
      </c>
      <c r="B80" s="79" t="s">
        <v>122</v>
      </c>
      <c r="C80" s="79" t="s">
        <v>123</v>
      </c>
      <c r="D80" s="78">
        <v>1.8</v>
      </c>
      <c r="E80" s="80">
        <v>1375</v>
      </c>
      <c r="F80" s="80"/>
      <c r="G80" s="80">
        <v>1375</v>
      </c>
      <c r="H80" s="81" t="s">
        <v>124</v>
      </c>
      <c r="I80" s="82">
        <v>9875</v>
      </c>
      <c r="J80" s="80"/>
      <c r="K80" s="80"/>
      <c r="L80" s="80" t="str">
        <f>IF(1.8*1375=0," ",TEXT(,ROUND((1.8*1375*3.99),2)))</f>
        <v>9875.25</v>
      </c>
      <c r="M80" s="80"/>
      <c r="N80" s="80"/>
    </row>
    <row r="81" spans="1:14" ht="168">
      <c r="A81" s="78">
        <v>39</v>
      </c>
      <c r="B81" s="79" t="s">
        <v>125</v>
      </c>
      <c r="C81" s="79" t="s">
        <v>126</v>
      </c>
      <c r="D81" s="78">
        <v>0.876</v>
      </c>
      <c r="E81" s="80" t="s">
        <v>127</v>
      </c>
      <c r="F81" s="80">
        <v>14.98</v>
      </c>
      <c r="G81" s="80">
        <v>4743.53</v>
      </c>
      <c r="H81" s="81" t="s">
        <v>128</v>
      </c>
      <c r="I81" s="82">
        <v>19736</v>
      </c>
      <c r="J81" s="80">
        <v>4211</v>
      </c>
      <c r="K81" s="80">
        <v>148</v>
      </c>
      <c r="L81" s="80" t="str">
        <f>IF(0.876*4743.53=0," ",TEXT(,ROUND((0.876*4743.53*3.7),2)))</f>
        <v>15374.73</v>
      </c>
      <c r="M81" s="80">
        <v>35.7938</v>
      </c>
      <c r="N81" s="80">
        <v>31.36</v>
      </c>
    </row>
    <row r="82" spans="1:14" ht="60">
      <c r="A82" s="78">
        <v>40</v>
      </c>
      <c r="B82" s="79" t="s">
        <v>129</v>
      </c>
      <c r="C82" s="79" t="s">
        <v>130</v>
      </c>
      <c r="D82" s="78">
        <v>-0.3679</v>
      </c>
      <c r="E82" s="80">
        <v>11200</v>
      </c>
      <c r="F82" s="80"/>
      <c r="G82" s="80">
        <v>11200</v>
      </c>
      <c r="H82" s="81" t="s">
        <v>131</v>
      </c>
      <c r="I82" s="82">
        <v>-15273</v>
      </c>
      <c r="J82" s="80"/>
      <c r="K82" s="80"/>
      <c r="L82" s="80" t="str">
        <f>IF(-0.3679*11200=0," ",TEXT(,ROUND((-0.3679*11200*3.707),2)))</f>
        <v>-15274.62</v>
      </c>
      <c r="M82" s="80"/>
      <c r="N82" s="80"/>
    </row>
    <row r="83" spans="1:14" ht="72">
      <c r="A83" s="78">
        <v>41</v>
      </c>
      <c r="B83" s="79" t="s">
        <v>132</v>
      </c>
      <c r="C83" s="79" t="s">
        <v>133</v>
      </c>
      <c r="D83" s="78" t="s">
        <v>134</v>
      </c>
      <c r="E83" s="80">
        <v>10675.31</v>
      </c>
      <c r="F83" s="80"/>
      <c r="G83" s="80">
        <v>10675.31</v>
      </c>
      <c r="H83" s="81" t="s">
        <v>135</v>
      </c>
      <c r="I83" s="82">
        <v>22249</v>
      </c>
      <c r="J83" s="80"/>
      <c r="K83" s="80"/>
      <c r="L83" s="80" t="str">
        <f>IF(0.539616*10675.31=0," ",TEXT(,ROUND((0.539616*10675.31*3.862),2)))</f>
        <v>22247.31</v>
      </c>
      <c r="M83" s="80"/>
      <c r="N83" s="80"/>
    </row>
    <row r="84" spans="1:14" ht="17.25" customHeight="1">
      <c r="A84" s="109" t="s">
        <v>136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</row>
    <row r="85" spans="1:14" ht="168">
      <c r="A85" s="78">
        <v>42</v>
      </c>
      <c r="B85" s="79" t="s">
        <v>137</v>
      </c>
      <c r="C85" s="79" t="s">
        <v>138</v>
      </c>
      <c r="D85" s="78">
        <v>0.187</v>
      </c>
      <c r="E85" s="80" t="s">
        <v>139</v>
      </c>
      <c r="F85" s="80">
        <v>144.02</v>
      </c>
      <c r="G85" s="80">
        <v>4663.03</v>
      </c>
      <c r="H85" s="81" t="s">
        <v>140</v>
      </c>
      <c r="I85" s="82">
        <v>9248</v>
      </c>
      <c r="J85" s="80">
        <v>2566</v>
      </c>
      <c r="K85" s="80">
        <v>308</v>
      </c>
      <c r="L85" s="80" t="str">
        <f>IF(0.187*4663.03=0," ",TEXT(,ROUND((0.187*4663.03*7.31),2)))</f>
        <v>6374.22</v>
      </c>
      <c r="M85" s="80">
        <v>97.75</v>
      </c>
      <c r="N85" s="80">
        <v>18.28</v>
      </c>
    </row>
    <row r="86" spans="1:14" ht="72">
      <c r="A86" s="78">
        <v>43</v>
      </c>
      <c r="B86" s="79" t="s">
        <v>119</v>
      </c>
      <c r="C86" s="79" t="s">
        <v>120</v>
      </c>
      <c r="D86" s="78">
        <v>-0.2955</v>
      </c>
      <c r="E86" s="80">
        <v>1784</v>
      </c>
      <c r="F86" s="80"/>
      <c r="G86" s="80">
        <v>1784</v>
      </c>
      <c r="H86" s="81" t="s">
        <v>121</v>
      </c>
      <c r="I86" s="82">
        <v>-4952</v>
      </c>
      <c r="J86" s="80"/>
      <c r="K86" s="80"/>
      <c r="L86" s="80" t="str">
        <f>IF(-0.2955*1784=0," ",TEXT(,ROUND((-0.2955*1784*9.396),2)))</f>
        <v>-4953.31</v>
      </c>
      <c r="M86" s="80"/>
      <c r="N86" s="80"/>
    </row>
    <row r="87" spans="1:14" ht="60">
      <c r="A87" s="78">
        <v>44</v>
      </c>
      <c r="B87" s="79" t="s">
        <v>141</v>
      </c>
      <c r="C87" s="79" t="s">
        <v>142</v>
      </c>
      <c r="D87" s="78">
        <v>0.2</v>
      </c>
      <c r="E87" s="80">
        <v>1320</v>
      </c>
      <c r="F87" s="80"/>
      <c r="G87" s="80">
        <v>1320</v>
      </c>
      <c r="H87" s="81" t="s">
        <v>143</v>
      </c>
      <c r="I87" s="82">
        <v>1097</v>
      </c>
      <c r="J87" s="80"/>
      <c r="K87" s="80"/>
      <c r="L87" s="80" t="str">
        <f>IF(0.2*1320=0," ",TEXT(,ROUND((0.2*1320*4.156),2)))</f>
        <v>1097.18</v>
      </c>
      <c r="M87" s="80"/>
      <c r="N87" s="80"/>
    </row>
    <row r="88" spans="1:14" ht="168">
      <c r="A88" s="78">
        <v>45</v>
      </c>
      <c r="B88" s="79" t="s">
        <v>125</v>
      </c>
      <c r="C88" s="79" t="s">
        <v>144</v>
      </c>
      <c r="D88" s="78">
        <v>0.187</v>
      </c>
      <c r="E88" s="80" t="s">
        <v>127</v>
      </c>
      <c r="F88" s="80">
        <v>14.98</v>
      </c>
      <c r="G88" s="80">
        <v>4743.53</v>
      </c>
      <c r="H88" s="81" t="s">
        <v>128</v>
      </c>
      <c r="I88" s="82">
        <v>4221</v>
      </c>
      <c r="J88" s="80">
        <v>905</v>
      </c>
      <c r="K88" s="80">
        <v>34</v>
      </c>
      <c r="L88" s="80" t="str">
        <f>IF(0.187*4743.53=0," ",TEXT(,ROUND((0.187*4743.53*3.7),2)))</f>
        <v>3282.05</v>
      </c>
      <c r="M88" s="80">
        <v>35.7938</v>
      </c>
      <c r="N88" s="80">
        <v>6.69</v>
      </c>
    </row>
    <row r="89" spans="1:14" ht="60">
      <c r="A89" s="78">
        <v>46</v>
      </c>
      <c r="B89" s="79" t="s">
        <v>129</v>
      </c>
      <c r="C89" s="79" t="s">
        <v>130</v>
      </c>
      <c r="D89" s="78">
        <v>-0.0785</v>
      </c>
      <c r="E89" s="80">
        <v>11200</v>
      </c>
      <c r="F89" s="80"/>
      <c r="G89" s="80">
        <v>11200</v>
      </c>
      <c r="H89" s="81" t="s">
        <v>131</v>
      </c>
      <c r="I89" s="82">
        <v>-3258</v>
      </c>
      <c r="J89" s="80"/>
      <c r="K89" s="80"/>
      <c r="L89" s="80" t="str">
        <f>IF(-0.0785*11200=0," ",TEXT(,ROUND((-0.0785*11200*3.707),2)))</f>
        <v>-3259.19</v>
      </c>
      <c r="M89" s="80"/>
      <c r="N89" s="80"/>
    </row>
    <row r="90" spans="1:14" ht="72">
      <c r="A90" s="78">
        <v>47</v>
      </c>
      <c r="B90" s="79" t="s">
        <v>132</v>
      </c>
      <c r="C90" s="79" t="s">
        <v>133</v>
      </c>
      <c r="D90" s="78" t="s">
        <v>145</v>
      </c>
      <c r="E90" s="80">
        <v>10675.31</v>
      </c>
      <c r="F90" s="80"/>
      <c r="G90" s="80">
        <v>10675.31</v>
      </c>
      <c r="H90" s="81" t="s">
        <v>135</v>
      </c>
      <c r="I90" s="82">
        <v>4750</v>
      </c>
      <c r="J90" s="80"/>
      <c r="K90" s="80"/>
      <c r="L90" s="80" t="str">
        <f>IF(0.115192*10675.31=0," ",TEXT(,ROUND((0.115192*10675.31*3.862),2)))</f>
        <v>4749.14</v>
      </c>
      <c r="M90" s="80"/>
      <c r="N90" s="80"/>
    </row>
    <row r="91" spans="1:14" ht="60">
      <c r="A91" s="78">
        <v>48</v>
      </c>
      <c r="B91" s="79" t="s">
        <v>146</v>
      </c>
      <c r="C91" s="79" t="s">
        <v>147</v>
      </c>
      <c r="D91" s="78">
        <v>22</v>
      </c>
      <c r="E91" s="80">
        <v>7.5</v>
      </c>
      <c r="F91" s="80"/>
      <c r="G91" s="80">
        <v>7.5</v>
      </c>
      <c r="H91" s="81" t="s">
        <v>148</v>
      </c>
      <c r="I91" s="82">
        <v>1150</v>
      </c>
      <c r="J91" s="80"/>
      <c r="K91" s="80"/>
      <c r="L91" s="80" t="str">
        <f>IF(22*7.5=0," ",TEXT(,ROUND((22*7.5*6.968),2)))</f>
        <v>1149.72</v>
      </c>
      <c r="M91" s="80"/>
      <c r="N91" s="80"/>
    </row>
    <row r="92" spans="1:14" ht="156">
      <c r="A92" s="78">
        <v>49</v>
      </c>
      <c r="B92" s="79" t="s">
        <v>149</v>
      </c>
      <c r="C92" s="79" t="s">
        <v>150</v>
      </c>
      <c r="D92" s="78">
        <v>0.01</v>
      </c>
      <c r="E92" s="80" t="s">
        <v>151</v>
      </c>
      <c r="F92" s="80" t="s">
        <v>152</v>
      </c>
      <c r="G92" s="80">
        <v>1633.35</v>
      </c>
      <c r="H92" s="81" t="s">
        <v>153</v>
      </c>
      <c r="I92" s="82">
        <v>227</v>
      </c>
      <c r="J92" s="80">
        <v>148</v>
      </c>
      <c r="K92" s="80">
        <v>42</v>
      </c>
      <c r="L92" s="80" t="str">
        <f>IF(0.01*1633.35=0," ",TEXT(,ROUND((0.01*1633.35*2.33),2)))</f>
        <v>38.06</v>
      </c>
      <c r="M92" s="80" t="s">
        <v>154</v>
      </c>
      <c r="N92" s="80" t="s">
        <v>155</v>
      </c>
    </row>
    <row r="93" spans="1:14" ht="60">
      <c r="A93" s="78">
        <v>50</v>
      </c>
      <c r="B93" s="79" t="s">
        <v>156</v>
      </c>
      <c r="C93" s="79" t="s">
        <v>157</v>
      </c>
      <c r="D93" s="78">
        <v>0.683</v>
      </c>
      <c r="E93" s="80">
        <v>161.47</v>
      </c>
      <c r="F93" s="80"/>
      <c r="G93" s="80">
        <v>161.47</v>
      </c>
      <c r="H93" s="81" t="s">
        <v>158</v>
      </c>
      <c r="I93" s="82">
        <v>730</v>
      </c>
      <c r="J93" s="80"/>
      <c r="K93" s="80"/>
      <c r="L93" s="80" t="str">
        <f>IF(0.683*161.47=0," ",TEXT(,ROUND((0.683*161.47*6.633),2)))</f>
        <v>731.51</v>
      </c>
      <c r="M93" s="80"/>
      <c r="N93" s="80"/>
    </row>
    <row r="94" spans="1:14" ht="17.25" customHeight="1">
      <c r="A94" s="109" t="s">
        <v>159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</row>
    <row r="95" spans="1:14" ht="156">
      <c r="A95" s="78">
        <v>51</v>
      </c>
      <c r="B95" s="79" t="s">
        <v>160</v>
      </c>
      <c r="C95" s="79" t="s">
        <v>161</v>
      </c>
      <c r="D95" s="78">
        <v>11</v>
      </c>
      <c r="E95" s="80" t="s">
        <v>162</v>
      </c>
      <c r="F95" s="80" t="s">
        <v>163</v>
      </c>
      <c r="G95" s="80">
        <v>823.32</v>
      </c>
      <c r="H95" s="81" t="s">
        <v>164</v>
      </c>
      <c r="I95" s="82">
        <v>63652</v>
      </c>
      <c r="J95" s="80">
        <v>15299</v>
      </c>
      <c r="K95" s="80" t="s">
        <v>165</v>
      </c>
      <c r="L95" s="80" t="str">
        <f>IF(11*823.32=0," ",TEXT(,ROUND((11*823.32*4.63),2)))</f>
        <v>41931.69</v>
      </c>
      <c r="M95" s="80" t="s">
        <v>166</v>
      </c>
      <c r="N95" s="80" t="s">
        <v>167</v>
      </c>
    </row>
    <row r="96" spans="1:14" ht="192">
      <c r="A96" s="78">
        <v>52</v>
      </c>
      <c r="B96" s="79" t="s">
        <v>168</v>
      </c>
      <c r="C96" s="79" t="s">
        <v>169</v>
      </c>
      <c r="D96" s="78">
        <v>0.922</v>
      </c>
      <c r="E96" s="80" t="s">
        <v>170</v>
      </c>
      <c r="F96" s="80" t="s">
        <v>171</v>
      </c>
      <c r="G96" s="80">
        <v>105.45</v>
      </c>
      <c r="H96" s="81" t="s">
        <v>172</v>
      </c>
      <c r="I96" s="82">
        <v>3148</v>
      </c>
      <c r="J96" s="80">
        <v>2879</v>
      </c>
      <c r="K96" s="80" t="s">
        <v>173</v>
      </c>
      <c r="L96" s="80" t="str">
        <f>IF(0.922*105.45=0," ",TEXT(,ROUND((0.922*105.45*1.42),2)))</f>
        <v>138.06</v>
      </c>
      <c r="M96" s="80" t="s">
        <v>174</v>
      </c>
      <c r="N96" s="80" t="s">
        <v>175</v>
      </c>
    </row>
    <row r="97" spans="1:14" ht="48">
      <c r="A97" s="78">
        <v>53</v>
      </c>
      <c r="B97" s="79" t="s">
        <v>176</v>
      </c>
      <c r="C97" s="79" t="s">
        <v>177</v>
      </c>
      <c r="D97" s="78">
        <v>4.6</v>
      </c>
      <c r="E97" s="80">
        <v>693.24</v>
      </c>
      <c r="F97" s="80"/>
      <c r="G97" s="80">
        <v>693.24</v>
      </c>
      <c r="H97" s="81" t="s">
        <v>178</v>
      </c>
      <c r="I97" s="82">
        <v>17795</v>
      </c>
      <c r="J97" s="80"/>
      <c r="K97" s="80"/>
      <c r="L97" s="80" t="str">
        <f>IF(4.6*693.24=0," ",TEXT(,ROUND((4.6*693.24*5.58),2)))</f>
        <v>17794.08</v>
      </c>
      <c r="M97" s="80"/>
      <c r="N97" s="80"/>
    </row>
    <row r="98" spans="1:14" ht="192">
      <c r="A98" s="78">
        <v>54</v>
      </c>
      <c r="B98" s="79" t="s">
        <v>179</v>
      </c>
      <c r="C98" s="79" t="s">
        <v>180</v>
      </c>
      <c r="D98" s="78">
        <v>0.922</v>
      </c>
      <c r="E98" s="80" t="s">
        <v>181</v>
      </c>
      <c r="F98" s="80" t="s">
        <v>182</v>
      </c>
      <c r="G98" s="80">
        <v>865.27</v>
      </c>
      <c r="H98" s="81" t="s">
        <v>183</v>
      </c>
      <c r="I98" s="82">
        <v>21383</v>
      </c>
      <c r="J98" s="80">
        <v>14904</v>
      </c>
      <c r="K98" s="80" t="s">
        <v>184</v>
      </c>
      <c r="L98" s="80" t="str">
        <f>IF(0.922*865.27=0," ",TEXT(,ROUND((0.922*865.27*6.27),2)))</f>
        <v>5002.07</v>
      </c>
      <c r="M98" s="80" t="s">
        <v>185</v>
      </c>
      <c r="N98" s="80" t="s">
        <v>186</v>
      </c>
    </row>
    <row r="99" spans="1:14" ht="180">
      <c r="A99" s="78">
        <v>55</v>
      </c>
      <c r="B99" s="79" t="s">
        <v>187</v>
      </c>
      <c r="C99" s="79" t="s">
        <v>188</v>
      </c>
      <c r="D99" s="78">
        <v>0.58</v>
      </c>
      <c r="E99" s="80" t="s">
        <v>189</v>
      </c>
      <c r="F99" s="80">
        <v>79.05</v>
      </c>
      <c r="G99" s="80">
        <v>1404.64</v>
      </c>
      <c r="H99" s="81" t="s">
        <v>190</v>
      </c>
      <c r="I99" s="82">
        <v>12192</v>
      </c>
      <c r="J99" s="80">
        <v>3784</v>
      </c>
      <c r="K99" s="80">
        <v>478</v>
      </c>
      <c r="L99" s="80" t="str">
        <f>IF(0.58*1404.64=0," ",TEXT(,ROUND((0.58*1404.64*9.73),2)))</f>
        <v>7926.95</v>
      </c>
      <c r="M99" s="80">
        <v>45.9712</v>
      </c>
      <c r="N99" s="80">
        <v>26.66</v>
      </c>
    </row>
    <row r="100" spans="1:14" ht="120">
      <c r="A100" s="78">
        <v>56</v>
      </c>
      <c r="B100" s="79" t="s">
        <v>191</v>
      </c>
      <c r="C100" s="79" t="s">
        <v>192</v>
      </c>
      <c r="D100" s="78">
        <v>-0.0667</v>
      </c>
      <c r="E100" s="80">
        <v>7800</v>
      </c>
      <c r="F100" s="80"/>
      <c r="G100" s="80">
        <v>7800</v>
      </c>
      <c r="H100" s="81" t="s">
        <v>193</v>
      </c>
      <c r="I100" s="82">
        <v>-6224</v>
      </c>
      <c r="J100" s="80"/>
      <c r="K100" s="80"/>
      <c r="L100" s="80" t="str">
        <f>IF(-0.0667*7800=0," ",TEXT(,ROUND((-0.0667*7800*11.969),2)))</f>
        <v>-6226.99</v>
      </c>
      <c r="M100" s="80"/>
      <c r="N100" s="80"/>
    </row>
    <row r="101" spans="1:14" ht="132">
      <c r="A101" s="78">
        <v>57</v>
      </c>
      <c r="B101" s="79" t="s">
        <v>194</v>
      </c>
      <c r="C101" s="79" t="s">
        <v>195</v>
      </c>
      <c r="D101" s="78">
        <v>0.0667</v>
      </c>
      <c r="E101" s="80">
        <v>22020</v>
      </c>
      <c r="F101" s="80"/>
      <c r="G101" s="80">
        <v>22020</v>
      </c>
      <c r="H101" s="81" t="s">
        <v>196</v>
      </c>
      <c r="I101" s="82">
        <v>2258</v>
      </c>
      <c r="J101" s="80"/>
      <c r="K101" s="80"/>
      <c r="L101" s="80" t="str">
        <f>IF(0.0667*22020=0," ",TEXT(,ROUND((0.0667*22020*1.537),2)))</f>
        <v>2257.44</v>
      </c>
      <c r="M101" s="80"/>
      <c r="N101" s="80"/>
    </row>
    <row r="102" spans="1:14" ht="180">
      <c r="A102" s="78">
        <v>58</v>
      </c>
      <c r="B102" s="79" t="s">
        <v>197</v>
      </c>
      <c r="C102" s="79" t="s">
        <v>198</v>
      </c>
      <c r="D102" s="78">
        <v>0.346</v>
      </c>
      <c r="E102" s="80" t="s">
        <v>199</v>
      </c>
      <c r="F102" s="80">
        <v>903.81</v>
      </c>
      <c r="G102" s="80">
        <v>8515.41</v>
      </c>
      <c r="H102" s="81" t="s">
        <v>200</v>
      </c>
      <c r="I102" s="82">
        <v>23768</v>
      </c>
      <c r="J102" s="80">
        <v>10364</v>
      </c>
      <c r="K102" s="80">
        <v>2504</v>
      </c>
      <c r="L102" s="80" t="str">
        <f>IF(0.346*8515.41=0," ",TEXT(,ROUND((0.346*8515.41*3.7),2)))</f>
        <v>10901.43</v>
      </c>
      <c r="M102" s="80">
        <v>200.6031</v>
      </c>
      <c r="N102" s="80">
        <v>69.41</v>
      </c>
    </row>
    <row r="103" spans="1:14" ht="60">
      <c r="A103" s="78">
        <v>59</v>
      </c>
      <c r="B103" s="79" t="s">
        <v>201</v>
      </c>
      <c r="C103" s="79" t="s">
        <v>202</v>
      </c>
      <c r="D103" s="78">
        <v>-0.2661</v>
      </c>
      <c r="E103" s="80">
        <v>11000</v>
      </c>
      <c r="F103" s="80"/>
      <c r="G103" s="80">
        <v>11000</v>
      </c>
      <c r="H103" s="81" t="s">
        <v>203</v>
      </c>
      <c r="I103" s="82">
        <v>-10868</v>
      </c>
      <c r="J103" s="80"/>
      <c r="K103" s="80"/>
      <c r="L103" s="80" t="str">
        <f>IF(-0.2661*11000=0," ",TEXT(,ROUND((-0.2661*11000*3.713),2)))</f>
        <v>-10868.32</v>
      </c>
      <c r="M103" s="80"/>
      <c r="N103" s="80"/>
    </row>
    <row r="104" spans="1:14" ht="72">
      <c r="A104" s="78">
        <v>60</v>
      </c>
      <c r="B104" s="79" t="s">
        <v>204</v>
      </c>
      <c r="C104" s="79" t="s">
        <v>205</v>
      </c>
      <c r="D104" s="78" t="s">
        <v>206</v>
      </c>
      <c r="E104" s="80">
        <v>10484</v>
      </c>
      <c r="F104" s="80"/>
      <c r="G104" s="80">
        <v>10484</v>
      </c>
      <c r="H104" s="81" t="s">
        <v>207</v>
      </c>
      <c r="I104" s="82">
        <v>6749</v>
      </c>
      <c r="J104" s="80"/>
      <c r="K104" s="80"/>
      <c r="L104" s="80" t="str">
        <f>IF(0.164212*10484=0," ",TEXT(,ROUND((0.164212*10484*3.919),2)))</f>
        <v>6746.94</v>
      </c>
      <c r="M104" s="80"/>
      <c r="N104" s="80"/>
    </row>
    <row r="105" spans="1:14" ht="17.25" customHeight="1">
      <c r="A105" s="109" t="s">
        <v>208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</row>
    <row r="106" spans="1:14" ht="180">
      <c r="A106" s="78">
        <v>61</v>
      </c>
      <c r="B106" s="79" t="s">
        <v>209</v>
      </c>
      <c r="C106" s="79" t="s">
        <v>210</v>
      </c>
      <c r="D106" s="78">
        <v>0.27</v>
      </c>
      <c r="E106" s="80" t="s">
        <v>211</v>
      </c>
      <c r="F106" s="80" t="s">
        <v>212</v>
      </c>
      <c r="G106" s="80">
        <v>7166.84</v>
      </c>
      <c r="H106" s="81" t="s">
        <v>213</v>
      </c>
      <c r="I106" s="82">
        <v>10009</v>
      </c>
      <c r="J106" s="80">
        <v>3899</v>
      </c>
      <c r="K106" s="80">
        <v>34</v>
      </c>
      <c r="L106" s="80" t="str">
        <f>IF(0.27*7166.84=0," ",TEXT(,ROUND((0.27*7166.84*3.14),2)))</f>
        <v>6076.05</v>
      </c>
      <c r="M106" s="80" t="s">
        <v>214</v>
      </c>
      <c r="N106" s="80" t="s">
        <v>215</v>
      </c>
    </row>
    <row r="107" spans="1:14" ht="192">
      <c r="A107" s="78">
        <v>62</v>
      </c>
      <c r="B107" s="79" t="s">
        <v>216</v>
      </c>
      <c r="C107" s="79" t="s">
        <v>217</v>
      </c>
      <c r="D107" s="78">
        <v>1</v>
      </c>
      <c r="E107" s="80" t="s">
        <v>218</v>
      </c>
      <c r="F107" s="80">
        <v>89.3</v>
      </c>
      <c r="G107" s="80">
        <v>1320.96</v>
      </c>
      <c r="H107" s="81" t="s">
        <v>219</v>
      </c>
      <c r="I107" s="82">
        <v>9912</v>
      </c>
      <c r="J107" s="80">
        <v>4343</v>
      </c>
      <c r="K107" s="80">
        <v>1008</v>
      </c>
      <c r="L107" s="80" t="str">
        <f>IF(1*1320.96=0," ",TEXT(,ROUND((1*1320.96*3.45),2)))</f>
        <v>4557.31</v>
      </c>
      <c r="M107" s="80">
        <v>27.0969</v>
      </c>
      <c r="N107" s="80">
        <v>27.1</v>
      </c>
    </row>
    <row r="108" spans="1:14" ht="60">
      <c r="A108" s="78">
        <v>63</v>
      </c>
      <c r="B108" s="79" t="s">
        <v>220</v>
      </c>
      <c r="C108" s="79" t="s">
        <v>221</v>
      </c>
      <c r="D108" s="78">
        <v>-1.54</v>
      </c>
      <c r="E108" s="80">
        <v>542.4</v>
      </c>
      <c r="F108" s="80"/>
      <c r="G108" s="80">
        <v>542.4</v>
      </c>
      <c r="H108" s="81" t="s">
        <v>222</v>
      </c>
      <c r="I108" s="82">
        <v>-2858</v>
      </c>
      <c r="J108" s="80"/>
      <c r="K108" s="80"/>
      <c r="L108" s="80" t="str">
        <f>IF(-1.54*542.4=0," ",TEXT(,ROUND((-1.54*542.4*3.423),2)))</f>
        <v>-2859.22</v>
      </c>
      <c r="M108" s="80"/>
      <c r="N108" s="80"/>
    </row>
    <row r="109" spans="1:14" ht="60">
      <c r="A109" s="78">
        <v>64</v>
      </c>
      <c r="B109" s="79" t="s">
        <v>223</v>
      </c>
      <c r="C109" s="79" t="s">
        <v>224</v>
      </c>
      <c r="D109" s="78" t="s">
        <v>225</v>
      </c>
      <c r="E109" s="80">
        <v>520.94</v>
      </c>
      <c r="F109" s="80"/>
      <c r="G109" s="80">
        <v>520.94</v>
      </c>
      <c r="H109" s="81" t="s">
        <v>226</v>
      </c>
      <c r="I109" s="82">
        <v>1325</v>
      </c>
      <c r="J109" s="80"/>
      <c r="K109" s="80"/>
      <c r="L109" s="80" t="str">
        <f>IF(1.03*520.94=0," ",TEXT(,ROUND((1.03*520.94*2.468),2)))</f>
        <v>1324.25</v>
      </c>
      <c r="M109" s="80"/>
      <c r="N109" s="80"/>
    </row>
    <row r="110" spans="1:14" ht="180">
      <c r="A110" s="78">
        <v>65</v>
      </c>
      <c r="B110" s="79" t="s">
        <v>187</v>
      </c>
      <c r="C110" s="79" t="s">
        <v>188</v>
      </c>
      <c r="D110" s="78">
        <v>0.21</v>
      </c>
      <c r="E110" s="80" t="s">
        <v>189</v>
      </c>
      <c r="F110" s="80">
        <v>79.05</v>
      </c>
      <c r="G110" s="80">
        <v>1404.64</v>
      </c>
      <c r="H110" s="81" t="s">
        <v>190</v>
      </c>
      <c r="I110" s="82">
        <v>4412</v>
      </c>
      <c r="J110" s="80">
        <v>1365</v>
      </c>
      <c r="K110" s="80">
        <v>177</v>
      </c>
      <c r="L110" s="80" t="str">
        <f>IF(0.21*1404.64=0," ",TEXT(,ROUND((0.21*1404.64*9.73),2)))</f>
        <v>2870.1</v>
      </c>
      <c r="M110" s="80">
        <v>45.9712</v>
      </c>
      <c r="N110" s="80">
        <v>9.65</v>
      </c>
    </row>
    <row r="111" spans="1:14" ht="60">
      <c r="A111" s="78">
        <v>66</v>
      </c>
      <c r="B111" s="79" t="s">
        <v>191</v>
      </c>
      <c r="C111" s="79" t="s">
        <v>227</v>
      </c>
      <c r="D111" s="78">
        <v>-0.0242</v>
      </c>
      <c r="E111" s="80">
        <v>7800</v>
      </c>
      <c r="F111" s="80"/>
      <c r="G111" s="80">
        <v>7800</v>
      </c>
      <c r="H111" s="81" t="s">
        <v>193</v>
      </c>
      <c r="I111" s="82">
        <v>-2262</v>
      </c>
      <c r="J111" s="80"/>
      <c r="K111" s="80"/>
      <c r="L111" s="80" t="str">
        <f>IF(-0.0242*7800=0," ",TEXT(,ROUND((-0.0242*7800*11.969),2)))</f>
        <v>-2259.27</v>
      </c>
      <c r="M111" s="80"/>
      <c r="N111" s="80"/>
    </row>
    <row r="112" spans="1:14" ht="60">
      <c r="A112" s="78">
        <v>67</v>
      </c>
      <c r="B112" s="79" t="s">
        <v>194</v>
      </c>
      <c r="C112" s="79" t="s">
        <v>228</v>
      </c>
      <c r="D112" s="78">
        <v>0.0242</v>
      </c>
      <c r="E112" s="80">
        <v>22020</v>
      </c>
      <c r="F112" s="80"/>
      <c r="G112" s="80">
        <v>22020</v>
      </c>
      <c r="H112" s="81" t="s">
        <v>196</v>
      </c>
      <c r="I112" s="82">
        <v>819</v>
      </c>
      <c r="J112" s="80"/>
      <c r="K112" s="80"/>
      <c r="L112" s="80" t="str">
        <f>IF(0.0242*22020=0," ",TEXT(,ROUND((0.0242*22020*1.537),2)))</f>
        <v>819.04</v>
      </c>
      <c r="M112" s="80"/>
      <c r="N112" s="80"/>
    </row>
    <row r="113" spans="1:14" ht="168">
      <c r="A113" s="78">
        <v>68</v>
      </c>
      <c r="B113" s="79" t="s">
        <v>229</v>
      </c>
      <c r="C113" s="79" t="s">
        <v>230</v>
      </c>
      <c r="D113" s="78">
        <v>0.09326</v>
      </c>
      <c r="E113" s="80" t="s">
        <v>231</v>
      </c>
      <c r="F113" s="80">
        <v>34.05</v>
      </c>
      <c r="G113" s="80">
        <v>8375.88</v>
      </c>
      <c r="H113" s="81" t="s">
        <v>232</v>
      </c>
      <c r="I113" s="82">
        <v>3377</v>
      </c>
      <c r="J113" s="80">
        <v>1842</v>
      </c>
      <c r="K113" s="80">
        <v>34</v>
      </c>
      <c r="L113" s="80" t="str">
        <f>IF(0.09326*8375.88=0," ",TEXT(,ROUND((0.09326*8375.88*1.92),2)))</f>
        <v>1499.78</v>
      </c>
      <c r="M113" s="80">
        <v>137.9138</v>
      </c>
      <c r="N113" s="80">
        <v>12.86</v>
      </c>
    </row>
    <row r="114" spans="1:14" ht="60">
      <c r="A114" s="78">
        <v>69</v>
      </c>
      <c r="B114" s="79" t="s">
        <v>233</v>
      </c>
      <c r="C114" s="79" t="s">
        <v>234</v>
      </c>
      <c r="D114" s="78">
        <v>-0.0021</v>
      </c>
      <c r="E114" s="80">
        <v>23500</v>
      </c>
      <c r="F114" s="80"/>
      <c r="G114" s="80">
        <v>23500</v>
      </c>
      <c r="H114" s="81" t="s">
        <v>235</v>
      </c>
      <c r="I114" s="82">
        <v>-122</v>
      </c>
      <c r="J114" s="80"/>
      <c r="K114" s="80"/>
      <c r="L114" s="80" t="str">
        <f>IF(-0.0021*23500=0," ",TEXT(,ROUND((-0.0021*23500*2.485),2)))</f>
        <v>-122.63</v>
      </c>
      <c r="M114" s="80"/>
      <c r="N114" s="80"/>
    </row>
    <row r="115" spans="1:14" ht="60">
      <c r="A115" s="78">
        <v>70</v>
      </c>
      <c r="B115" s="79" t="s">
        <v>236</v>
      </c>
      <c r="C115" s="79" t="s">
        <v>237</v>
      </c>
      <c r="D115" s="78">
        <v>1.072</v>
      </c>
      <c r="E115" s="80">
        <v>27.5</v>
      </c>
      <c r="F115" s="80"/>
      <c r="G115" s="80">
        <v>27.5</v>
      </c>
      <c r="H115" s="81" t="s">
        <v>238</v>
      </c>
      <c r="I115" s="82">
        <v>144</v>
      </c>
      <c r="J115" s="80"/>
      <c r="K115" s="80"/>
      <c r="L115" s="80" t="str">
        <f>IF(1.072*27.5=0," ",TEXT(,ROUND((1.072*27.5*4.95),2)))</f>
        <v>145.93</v>
      </c>
      <c r="M115" s="80"/>
      <c r="N115" s="80"/>
    </row>
    <row r="116" spans="1:14" ht="180">
      <c r="A116" s="78">
        <v>71</v>
      </c>
      <c r="B116" s="79" t="s">
        <v>239</v>
      </c>
      <c r="C116" s="79" t="s">
        <v>240</v>
      </c>
      <c r="D116" s="78">
        <v>0.055</v>
      </c>
      <c r="E116" s="80" t="s">
        <v>241</v>
      </c>
      <c r="F116" s="80">
        <v>1514.16</v>
      </c>
      <c r="G116" s="80">
        <v>12722.28</v>
      </c>
      <c r="H116" s="81" t="s">
        <v>242</v>
      </c>
      <c r="I116" s="82">
        <v>5389</v>
      </c>
      <c r="J116" s="80">
        <v>1892</v>
      </c>
      <c r="K116" s="80">
        <v>648</v>
      </c>
      <c r="L116" s="80" t="str">
        <f>IF(0.055*12722.28=0," ",TEXT(,ROUND((0.055*12722.28*4.07),2)))</f>
        <v>2847.88</v>
      </c>
      <c r="M116" s="80">
        <v>213.4975</v>
      </c>
      <c r="N116" s="80">
        <v>11.74</v>
      </c>
    </row>
    <row r="117" spans="1:14" ht="168">
      <c r="A117" s="78">
        <v>72</v>
      </c>
      <c r="B117" s="79" t="s">
        <v>243</v>
      </c>
      <c r="C117" s="79" t="s">
        <v>244</v>
      </c>
      <c r="D117" s="78">
        <v>-6.71</v>
      </c>
      <c r="E117" s="80">
        <v>99.2</v>
      </c>
      <c r="F117" s="80"/>
      <c r="G117" s="80">
        <v>99.2</v>
      </c>
      <c r="H117" s="81" t="s">
        <v>245</v>
      </c>
      <c r="I117" s="82">
        <v>-2731</v>
      </c>
      <c r="J117" s="80"/>
      <c r="K117" s="80"/>
      <c r="L117" s="80" t="str">
        <f>IF(-6.71*99.2=0," ",TEXT(,ROUND((-6.71*99.2*4.1),2)))</f>
        <v>-2729.09</v>
      </c>
      <c r="M117" s="80"/>
      <c r="N117" s="80"/>
    </row>
    <row r="118" spans="1:14" ht="17.25" customHeight="1">
      <c r="A118" s="109" t="s">
        <v>246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</row>
    <row r="119" spans="1:14" ht="96">
      <c r="A119" s="78">
        <v>73</v>
      </c>
      <c r="B119" s="79" t="s">
        <v>247</v>
      </c>
      <c r="C119" s="79" t="s">
        <v>248</v>
      </c>
      <c r="D119" s="78">
        <v>9.017</v>
      </c>
      <c r="E119" s="80" t="s">
        <v>249</v>
      </c>
      <c r="F119" s="80">
        <v>6.54</v>
      </c>
      <c r="G119" s="80">
        <v>883.33</v>
      </c>
      <c r="H119" s="81" t="s">
        <v>250</v>
      </c>
      <c r="I119" s="82">
        <v>47227</v>
      </c>
      <c r="J119" s="80">
        <v>6728</v>
      </c>
      <c r="K119" s="80">
        <v>674</v>
      </c>
      <c r="L119" s="80" t="str">
        <f>IF(9.017*883.33=0," ",TEXT(,ROUND((9.017*883.33*5),2)))</f>
        <v>39824.93</v>
      </c>
      <c r="M119" s="80">
        <v>5.65</v>
      </c>
      <c r="N119" s="80">
        <v>50.95</v>
      </c>
    </row>
    <row r="120" spans="1:14" ht="60">
      <c r="A120" s="78">
        <v>74</v>
      </c>
      <c r="B120" s="79" t="s">
        <v>251</v>
      </c>
      <c r="C120" s="79" t="s">
        <v>252</v>
      </c>
      <c r="D120" s="78">
        <v>-1037</v>
      </c>
      <c r="E120" s="80">
        <v>7.46</v>
      </c>
      <c r="F120" s="80"/>
      <c r="G120" s="80">
        <v>7.46</v>
      </c>
      <c r="H120" s="81" t="s">
        <v>253</v>
      </c>
      <c r="I120" s="82">
        <v>-38672</v>
      </c>
      <c r="J120" s="80"/>
      <c r="K120" s="80"/>
      <c r="L120" s="80" t="str">
        <f>IF(-1037*7.46=0," ",TEXT(,ROUND((-1037*7.46*4.999),2)))</f>
        <v>-38672.36</v>
      </c>
      <c r="M120" s="80"/>
      <c r="N120" s="80"/>
    </row>
    <row r="121" spans="1:14" ht="60">
      <c r="A121" s="78">
        <v>75</v>
      </c>
      <c r="B121" s="79" t="s">
        <v>254</v>
      </c>
      <c r="C121" s="79" t="s">
        <v>255</v>
      </c>
      <c r="D121" s="78">
        <v>103.7</v>
      </c>
      <c r="E121" s="80">
        <v>37.5</v>
      </c>
      <c r="F121" s="80"/>
      <c r="G121" s="80">
        <v>37.5</v>
      </c>
      <c r="H121" s="81" t="s">
        <v>256</v>
      </c>
      <c r="I121" s="82">
        <v>19017</v>
      </c>
      <c r="J121" s="80"/>
      <c r="K121" s="80"/>
      <c r="L121" s="80" t="str">
        <f>IF(103.7*37.5=0," ",TEXT(,ROUND((103.7*37.5*4.89),2)))</f>
        <v>19015.99</v>
      </c>
      <c r="M121" s="80"/>
      <c r="N121" s="80"/>
    </row>
    <row r="122" spans="1:14" ht="168">
      <c r="A122" s="78">
        <v>76</v>
      </c>
      <c r="B122" s="79" t="s">
        <v>257</v>
      </c>
      <c r="C122" s="79" t="s">
        <v>258</v>
      </c>
      <c r="D122" s="78">
        <v>8.191</v>
      </c>
      <c r="E122" s="80" t="s">
        <v>259</v>
      </c>
      <c r="F122" s="80" t="s">
        <v>260</v>
      </c>
      <c r="G122" s="80">
        <v>9149.44</v>
      </c>
      <c r="H122" s="81" t="s">
        <v>261</v>
      </c>
      <c r="I122" s="82">
        <v>350652</v>
      </c>
      <c r="J122" s="80">
        <v>64484</v>
      </c>
      <c r="K122" s="80" t="s">
        <v>262</v>
      </c>
      <c r="L122" s="80" t="str">
        <f>IF(8.191*9149.44=0," ",TEXT(,ROUND((8.191*9149.44*3.6),2)))</f>
        <v>269795.03</v>
      </c>
      <c r="M122" s="80" t="s">
        <v>263</v>
      </c>
      <c r="N122" s="80" t="s">
        <v>264</v>
      </c>
    </row>
    <row r="123" spans="1:14" ht="60">
      <c r="A123" s="78">
        <v>77</v>
      </c>
      <c r="B123" s="79" t="s">
        <v>265</v>
      </c>
      <c r="C123" s="79" t="s">
        <v>266</v>
      </c>
      <c r="D123" s="78">
        <v>-999.3</v>
      </c>
      <c r="E123" s="80">
        <v>70.5</v>
      </c>
      <c r="F123" s="80"/>
      <c r="G123" s="80">
        <v>70.5</v>
      </c>
      <c r="H123" s="81" t="s">
        <v>267</v>
      </c>
      <c r="I123" s="82">
        <v>-268982</v>
      </c>
      <c r="J123" s="80"/>
      <c r="K123" s="80"/>
      <c r="L123" s="80" t="str">
        <f>IF(-999.3*70.5=0," ",TEXT(,ROUND((-999.3*70.5*3.818),2)))</f>
        <v>-268980.58</v>
      </c>
      <c r="M123" s="80"/>
      <c r="N123" s="80"/>
    </row>
    <row r="124" spans="1:14" ht="72">
      <c r="A124" s="78">
        <v>78</v>
      </c>
      <c r="B124" s="79" t="s">
        <v>268</v>
      </c>
      <c r="C124" s="79" t="s">
        <v>269</v>
      </c>
      <c r="D124" s="78" t="s">
        <v>270</v>
      </c>
      <c r="E124" s="80">
        <v>10090.38</v>
      </c>
      <c r="F124" s="80"/>
      <c r="G124" s="80">
        <v>10090.38</v>
      </c>
      <c r="H124" s="81" t="s">
        <v>271</v>
      </c>
      <c r="I124" s="82">
        <v>308721</v>
      </c>
      <c r="J124" s="80"/>
      <c r="K124" s="80"/>
      <c r="L124" s="80" t="str">
        <f>IF(7.138457*10090.38=0," ",TEXT(,ROUND((7.138457*10090.38*4.286),2)))</f>
        <v>308719.48</v>
      </c>
      <c r="M124" s="80"/>
      <c r="N124" s="80"/>
    </row>
    <row r="125" spans="1:14" ht="36">
      <c r="A125" s="78">
        <v>79</v>
      </c>
      <c r="B125" s="79" t="s">
        <v>272</v>
      </c>
      <c r="C125" s="79" t="s">
        <v>273</v>
      </c>
      <c r="D125" s="78">
        <v>70.3</v>
      </c>
      <c r="E125" s="80">
        <v>28.83</v>
      </c>
      <c r="F125" s="80"/>
      <c r="G125" s="80">
        <v>28.83</v>
      </c>
      <c r="H125" s="81" t="s">
        <v>178</v>
      </c>
      <c r="I125" s="82">
        <v>11311</v>
      </c>
      <c r="J125" s="80"/>
      <c r="K125" s="80"/>
      <c r="L125" s="80" t="str">
        <f>IF(70.3*28.83=0," ",TEXT(,ROUND((70.3*28.83*5.58),2)))</f>
        <v>11309.26</v>
      </c>
      <c r="M125" s="80"/>
      <c r="N125" s="80"/>
    </row>
    <row r="126" spans="1:14" ht="36">
      <c r="A126" s="78">
        <v>80</v>
      </c>
      <c r="B126" s="79" t="s">
        <v>274</v>
      </c>
      <c r="C126" s="79" t="s">
        <v>275</v>
      </c>
      <c r="D126" s="78">
        <v>70.1</v>
      </c>
      <c r="E126" s="80">
        <v>28.83</v>
      </c>
      <c r="F126" s="80"/>
      <c r="G126" s="80">
        <v>28.83</v>
      </c>
      <c r="H126" s="81" t="s">
        <v>178</v>
      </c>
      <c r="I126" s="82">
        <v>11277</v>
      </c>
      <c r="J126" s="80"/>
      <c r="K126" s="80"/>
      <c r="L126" s="80" t="str">
        <f>IF(70.1*28.83=0," ",TEXT(,ROUND((70.1*28.83*5.58),2)))</f>
        <v>11277.09</v>
      </c>
      <c r="M126" s="80"/>
      <c r="N126" s="80"/>
    </row>
    <row r="127" spans="1:14" ht="72">
      <c r="A127" s="78">
        <v>81</v>
      </c>
      <c r="B127" s="79" t="s">
        <v>204</v>
      </c>
      <c r="C127" s="79" t="s">
        <v>205</v>
      </c>
      <c r="D127" s="78" t="s">
        <v>276</v>
      </c>
      <c r="E127" s="80">
        <v>10484</v>
      </c>
      <c r="F127" s="80"/>
      <c r="G127" s="80">
        <v>10484</v>
      </c>
      <c r="H127" s="81" t="s">
        <v>207</v>
      </c>
      <c r="I127" s="82">
        <v>13321</v>
      </c>
      <c r="J127" s="80"/>
      <c r="K127" s="80"/>
      <c r="L127" s="80" t="str">
        <f>IF(0.324199*10484=0," ",TEXT(,ROUND((0.324199*10484*3.919),2)))</f>
        <v>13320.3</v>
      </c>
      <c r="M127" s="80"/>
      <c r="N127" s="80"/>
    </row>
    <row r="128" spans="1:14" ht="156">
      <c r="A128" s="78">
        <v>82</v>
      </c>
      <c r="B128" s="79" t="s">
        <v>277</v>
      </c>
      <c r="C128" s="79" t="s">
        <v>278</v>
      </c>
      <c r="D128" s="78">
        <v>140</v>
      </c>
      <c r="E128" s="80" t="s">
        <v>279</v>
      </c>
      <c r="F128" s="80">
        <v>0.86</v>
      </c>
      <c r="G128" s="80"/>
      <c r="H128" s="81" t="s">
        <v>280</v>
      </c>
      <c r="I128" s="82">
        <v>10366</v>
      </c>
      <c r="J128" s="80">
        <v>10100</v>
      </c>
      <c r="K128" s="80">
        <v>266</v>
      </c>
      <c r="L128" s="80" t="str">
        <f>IF(140*0=0," ",TEXT(,ROUND((140*0*1),2)))</f>
        <v> </v>
      </c>
      <c r="M128" s="80">
        <v>0.4888</v>
      </c>
      <c r="N128" s="80">
        <v>68.43</v>
      </c>
    </row>
    <row r="129" spans="1:14" ht="156">
      <c r="A129" s="78">
        <v>83</v>
      </c>
      <c r="B129" s="79" t="s">
        <v>281</v>
      </c>
      <c r="C129" s="79" t="s">
        <v>282</v>
      </c>
      <c r="D129" s="78">
        <v>1.18</v>
      </c>
      <c r="E129" s="80" t="s">
        <v>283</v>
      </c>
      <c r="F129" s="80" t="s">
        <v>284</v>
      </c>
      <c r="G129" s="80">
        <v>17933.62</v>
      </c>
      <c r="H129" s="81" t="s">
        <v>285</v>
      </c>
      <c r="I129" s="82">
        <v>112332</v>
      </c>
      <c r="J129" s="80">
        <v>20168</v>
      </c>
      <c r="K129" s="80" t="s">
        <v>286</v>
      </c>
      <c r="L129" s="80" t="str">
        <f>IF(1.18*17933.62=0," ",TEXT(,ROUND((1.18*17933.62*4.06),2)))</f>
        <v>85916.39</v>
      </c>
      <c r="M129" s="80" t="s">
        <v>287</v>
      </c>
      <c r="N129" s="80" t="s">
        <v>288</v>
      </c>
    </row>
    <row r="130" spans="1:14" ht="180">
      <c r="A130" s="78">
        <v>84</v>
      </c>
      <c r="B130" s="79" t="s">
        <v>289</v>
      </c>
      <c r="C130" s="79" t="s">
        <v>290</v>
      </c>
      <c r="D130" s="78">
        <v>0.26</v>
      </c>
      <c r="E130" s="80" t="s">
        <v>291</v>
      </c>
      <c r="F130" s="80" t="s">
        <v>292</v>
      </c>
      <c r="G130" s="80">
        <v>8074.17</v>
      </c>
      <c r="H130" s="81" t="s">
        <v>293</v>
      </c>
      <c r="I130" s="82">
        <v>11879</v>
      </c>
      <c r="J130" s="80">
        <v>4014</v>
      </c>
      <c r="K130" s="80">
        <v>78</v>
      </c>
      <c r="L130" s="80" t="str">
        <f>IF(0.26*8074.17=0," ",TEXT(,ROUND((0.26*8074.17*3.71),2)))</f>
        <v>7788.34</v>
      </c>
      <c r="M130" s="80" t="s">
        <v>294</v>
      </c>
      <c r="N130" s="80" t="s">
        <v>295</v>
      </c>
    </row>
    <row r="131" spans="1:14" ht="60">
      <c r="A131" s="78">
        <v>85</v>
      </c>
      <c r="B131" s="79" t="s">
        <v>129</v>
      </c>
      <c r="C131" s="79" t="s">
        <v>130</v>
      </c>
      <c r="D131" s="78">
        <v>-0.1872</v>
      </c>
      <c r="E131" s="80">
        <v>11200</v>
      </c>
      <c r="F131" s="80"/>
      <c r="G131" s="80">
        <v>11200</v>
      </c>
      <c r="H131" s="81" t="s">
        <v>131</v>
      </c>
      <c r="I131" s="82">
        <v>-7774</v>
      </c>
      <c r="J131" s="80"/>
      <c r="K131" s="80"/>
      <c r="L131" s="80" t="str">
        <f>IF(-0.1872*11200=0," ",TEXT(,ROUND((-0.1872*11200*3.707),2)))</f>
        <v>-7772.24</v>
      </c>
      <c r="M131" s="80"/>
      <c r="N131" s="80"/>
    </row>
    <row r="132" spans="1:14" ht="72">
      <c r="A132" s="78">
        <v>86</v>
      </c>
      <c r="B132" s="79" t="s">
        <v>204</v>
      </c>
      <c r="C132" s="79" t="s">
        <v>205</v>
      </c>
      <c r="D132" s="78" t="s">
        <v>296</v>
      </c>
      <c r="E132" s="80">
        <v>10484</v>
      </c>
      <c r="F132" s="80"/>
      <c r="G132" s="80">
        <v>10484</v>
      </c>
      <c r="H132" s="81" t="s">
        <v>207</v>
      </c>
      <c r="I132" s="82">
        <v>5310</v>
      </c>
      <c r="J132" s="80"/>
      <c r="K132" s="80"/>
      <c r="L132" s="80" t="str">
        <f>IF(0.129272*10484=0," ",TEXT(,ROUND((0.129272*10484*3.919),2)))</f>
        <v>5311.37</v>
      </c>
      <c r="M132" s="80"/>
      <c r="N132" s="80"/>
    </row>
    <row r="133" spans="1:14" ht="156">
      <c r="A133" s="78">
        <v>87</v>
      </c>
      <c r="B133" s="79" t="s">
        <v>297</v>
      </c>
      <c r="C133" s="79" t="s">
        <v>298</v>
      </c>
      <c r="D133" s="78">
        <v>3</v>
      </c>
      <c r="E133" s="80" t="s">
        <v>299</v>
      </c>
      <c r="F133" s="80" t="s">
        <v>300</v>
      </c>
      <c r="G133" s="80">
        <v>300.2</v>
      </c>
      <c r="H133" s="81" t="s">
        <v>301</v>
      </c>
      <c r="I133" s="82">
        <v>9920</v>
      </c>
      <c r="J133" s="80">
        <v>4014</v>
      </c>
      <c r="K133" s="80" t="s">
        <v>302</v>
      </c>
      <c r="L133" s="80" t="str">
        <f>IF(3*300.2=0," ",TEXT(,ROUND((3*300.2*5.3),2)))</f>
        <v>4773.18</v>
      </c>
      <c r="M133" s="80" t="s">
        <v>303</v>
      </c>
      <c r="N133" s="80" t="s">
        <v>304</v>
      </c>
    </row>
    <row r="134" spans="1:14" ht="60">
      <c r="A134" s="78">
        <v>88</v>
      </c>
      <c r="B134" s="79" t="s">
        <v>305</v>
      </c>
      <c r="C134" s="79" t="s">
        <v>306</v>
      </c>
      <c r="D134" s="78">
        <v>3</v>
      </c>
      <c r="E134" s="80">
        <v>13.42</v>
      </c>
      <c r="F134" s="80"/>
      <c r="G134" s="80">
        <v>13.42</v>
      </c>
      <c r="H134" s="81" t="s">
        <v>307</v>
      </c>
      <c r="I134" s="82">
        <v>78</v>
      </c>
      <c r="J134" s="80"/>
      <c r="K134" s="80"/>
      <c r="L134" s="80" t="str">
        <f>IF(3*13.42=0," ",TEXT(,ROUND((3*13.42*1.941),2)))</f>
        <v>78.14</v>
      </c>
      <c r="M134" s="80"/>
      <c r="N134" s="80"/>
    </row>
    <row r="135" spans="1:14" ht="60">
      <c r="A135" s="78">
        <v>89</v>
      </c>
      <c r="B135" s="79" t="s">
        <v>308</v>
      </c>
      <c r="C135" s="79" t="s">
        <v>309</v>
      </c>
      <c r="D135" s="78">
        <v>6</v>
      </c>
      <c r="E135" s="80">
        <v>3.74</v>
      </c>
      <c r="F135" s="80"/>
      <c r="G135" s="80">
        <v>3.74</v>
      </c>
      <c r="H135" s="81" t="s">
        <v>310</v>
      </c>
      <c r="I135" s="82">
        <v>51</v>
      </c>
      <c r="J135" s="80"/>
      <c r="K135" s="80"/>
      <c r="L135" s="80" t="str">
        <f>IF(6*3.74=0," ",TEXT(,ROUND((6*3.74*2.337),2)))</f>
        <v>52.44</v>
      </c>
      <c r="M135" s="80"/>
      <c r="N135" s="80"/>
    </row>
    <row r="136" spans="1:14" ht="168">
      <c r="A136" s="78">
        <v>90</v>
      </c>
      <c r="B136" s="79" t="s">
        <v>886</v>
      </c>
      <c r="C136" s="79" t="s">
        <v>311</v>
      </c>
      <c r="D136" s="78">
        <v>0.162</v>
      </c>
      <c r="E136" s="80" t="s">
        <v>888</v>
      </c>
      <c r="F136" s="80">
        <v>52.36</v>
      </c>
      <c r="G136" s="80">
        <v>2189</v>
      </c>
      <c r="H136" s="81" t="s">
        <v>889</v>
      </c>
      <c r="I136" s="82">
        <v>2009</v>
      </c>
      <c r="J136" s="80">
        <v>724</v>
      </c>
      <c r="K136" s="80">
        <v>89</v>
      </c>
      <c r="L136" s="80" t="str">
        <f>IF(0.162*2189=0," ",TEXT(,ROUND((0.162*2189*3.37),2)))</f>
        <v>1195.06</v>
      </c>
      <c r="M136" s="80">
        <v>32.3438</v>
      </c>
      <c r="N136" s="80">
        <v>5.24</v>
      </c>
    </row>
    <row r="137" spans="1:14" ht="168">
      <c r="A137" s="78">
        <v>91</v>
      </c>
      <c r="B137" s="79" t="s">
        <v>312</v>
      </c>
      <c r="C137" s="79" t="s">
        <v>313</v>
      </c>
      <c r="D137" s="78">
        <v>0.116352</v>
      </c>
      <c r="E137" s="80" t="s">
        <v>314</v>
      </c>
      <c r="F137" s="80" t="s">
        <v>315</v>
      </c>
      <c r="G137" s="80">
        <v>88.5</v>
      </c>
      <c r="H137" s="81" t="s">
        <v>316</v>
      </c>
      <c r="I137" s="82">
        <v>2187</v>
      </c>
      <c r="J137" s="80">
        <v>839</v>
      </c>
      <c r="K137" s="80" t="s">
        <v>317</v>
      </c>
      <c r="L137" s="80" t="str">
        <f>IF(0.116352*88.5=0," ",TEXT(,ROUND((0.116352*88.5*5.25),2)))</f>
        <v>54.06</v>
      </c>
      <c r="M137" s="80" t="s">
        <v>318</v>
      </c>
      <c r="N137" s="80" t="s">
        <v>319</v>
      </c>
    </row>
    <row r="138" spans="1:14" ht="108">
      <c r="A138" s="78">
        <v>92</v>
      </c>
      <c r="B138" s="79" t="s">
        <v>320</v>
      </c>
      <c r="C138" s="79" t="s">
        <v>321</v>
      </c>
      <c r="D138" s="78">
        <v>0.116352</v>
      </c>
      <c r="E138" s="80">
        <v>10045</v>
      </c>
      <c r="F138" s="80"/>
      <c r="G138" s="80">
        <v>10045</v>
      </c>
      <c r="H138" s="81" t="s">
        <v>322</v>
      </c>
      <c r="I138" s="82">
        <v>8991</v>
      </c>
      <c r="J138" s="80"/>
      <c r="K138" s="80"/>
      <c r="L138" s="80" t="str">
        <f>IF(0.116352*10045=0," ",TEXT(,ROUND((0.116352*10045*7.691),2)))</f>
        <v>8988.9</v>
      </c>
      <c r="M138" s="80"/>
      <c r="N138" s="80"/>
    </row>
    <row r="139" spans="1:14" ht="192">
      <c r="A139" s="78">
        <v>93</v>
      </c>
      <c r="B139" s="79" t="s">
        <v>878</v>
      </c>
      <c r="C139" s="79" t="s">
        <v>323</v>
      </c>
      <c r="D139" s="78">
        <v>0.063</v>
      </c>
      <c r="E139" s="80" t="s">
        <v>324</v>
      </c>
      <c r="F139" s="80" t="s">
        <v>325</v>
      </c>
      <c r="G139" s="80">
        <v>562.56</v>
      </c>
      <c r="H139" s="81" t="s">
        <v>882</v>
      </c>
      <c r="I139" s="82">
        <v>288</v>
      </c>
      <c r="J139" s="80">
        <v>99</v>
      </c>
      <c r="K139" s="80">
        <v>11</v>
      </c>
      <c r="L139" s="80" t="str">
        <f>IF(0.063*562.56=0," ",TEXT(,ROUND((0.063*562.56*4.94),2)))</f>
        <v>175.08</v>
      </c>
      <c r="M139" s="80" t="s">
        <v>326</v>
      </c>
      <c r="N139" s="80">
        <v>0.69</v>
      </c>
    </row>
    <row r="140" spans="1:14" ht="144">
      <c r="A140" s="78">
        <v>94</v>
      </c>
      <c r="B140" s="79" t="s">
        <v>327</v>
      </c>
      <c r="C140" s="79" t="s">
        <v>328</v>
      </c>
      <c r="D140" s="78">
        <v>0.54</v>
      </c>
      <c r="E140" s="80" t="s">
        <v>329</v>
      </c>
      <c r="F140" s="80" t="s">
        <v>330</v>
      </c>
      <c r="G140" s="80">
        <v>3032.91</v>
      </c>
      <c r="H140" s="81" t="s">
        <v>331</v>
      </c>
      <c r="I140" s="82">
        <v>13779</v>
      </c>
      <c r="J140" s="80">
        <v>757</v>
      </c>
      <c r="K140" s="80" t="s">
        <v>332</v>
      </c>
      <c r="L140" s="80" t="str">
        <f>IF(0.54*3032.91=0," ",TEXT(,ROUND((0.54*3032.91*7.67),2)))</f>
        <v>12561.71</v>
      </c>
      <c r="M140" s="80" t="s">
        <v>333</v>
      </c>
      <c r="N140" s="80" t="s">
        <v>334</v>
      </c>
    </row>
    <row r="141" spans="1:14" ht="108">
      <c r="A141" s="78">
        <v>95</v>
      </c>
      <c r="B141" s="79" t="s">
        <v>320</v>
      </c>
      <c r="C141" s="79" t="s">
        <v>321</v>
      </c>
      <c r="D141" s="78">
        <v>-0.162</v>
      </c>
      <c r="E141" s="80">
        <v>10045</v>
      </c>
      <c r="F141" s="80"/>
      <c r="G141" s="80">
        <v>10045</v>
      </c>
      <c r="H141" s="81" t="s">
        <v>322</v>
      </c>
      <c r="I141" s="82">
        <v>-12513</v>
      </c>
      <c r="J141" s="80"/>
      <c r="K141" s="80"/>
      <c r="L141" s="80" t="str">
        <f>IF(-0.162*10045=0," ",TEXT(,ROUND((-0.162*10045*7.691),2)))</f>
        <v>-12515.49</v>
      </c>
      <c r="M141" s="80"/>
      <c r="N141" s="80"/>
    </row>
    <row r="142" spans="1:14" ht="60">
      <c r="A142" s="78">
        <v>96</v>
      </c>
      <c r="B142" s="79" t="s">
        <v>335</v>
      </c>
      <c r="C142" s="79" t="s">
        <v>336</v>
      </c>
      <c r="D142" s="78">
        <v>54</v>
      </c>
      <c r="E142" s="80">
        <v>12.03</v>
      </c>
      <c r="F142" s="80"/>
      <c r="G142" s="80">
        <v>12.03</v>
      </c>
      <c r="H142" s="81" t="s">
        <v>337</v>
      </c>
      <c r="I142" s="82">
        <v>4497</v>
      </c>
      <c r="J142" s="80"/>
      <c r="K142" s="80"/>
      <c r="L142" s="80" t="str">
        <f>IF(54*12.03=0," ",TEXT(,ROUND((54*12.03*6.918),2)))</f>
        <v>4494.07</v>
      </c>
      <c r="M142" s="80"/>
      <c r="N142" s="80"/>
    </row>
    <row r="143" spans="1:14" ht="156">
      <c r="A143" s="78">
        <v>97</v>
      </c>
      <c r="B143" s="79" t="s">
        <v>327</v>
      </c>
      <c r="C143" s="79" t="s">
        <v>338</v>
      </c>
      <c r="D143" s="78">
        <v>0.925</v>
      </c>
      <c r="E143" s="80" t="s">
        <v>329</v>
      </c>
      <c r="F143" s="80" t="s">
        <v>330</v>
      </c>
      <c r="G143" s="80">
        <v>3032.91</v>
      </c>
      <c r="H143" s="81" t="s">
        <v>331</v>
      </c>
      <c r="I143" s="82">
        <v>23608</v>
      </c>
      <c r="J143" s="80">
        <v>1300</v>
      </c>
      <c r="K143" s="80" t="s">
        <v>339</v>
      </c>
      <c r="L143" s="80" t="str">
        <f>IF(0.925*3032.91=0," ",TEXT(,ROUND((0.925*3032.91*7.67),2)))</f>
        <v>21517.74</v>
      </c>
      <c r="M143" s="80" t="s">
        <v>333</v>
      </c>
      <c r="N143" s="80" t="s">
        <v>340</v>
      </c>
    </row>
    <row r="144" spans="1:14" ht="108">
      <c r="A144" s="78">
        <v>98</v>
      </c>
      <c r="B144" s="79" t="s">
        <v>320</v>
      </c>
      <c r="C144" s="79" t="s">
        <v>341</v>
      </c>
      <c r="D144" s="78">
        <v>0.767</v>
      </c>
      <c r="E144" s="80">
        <v>10045</v>
      </c>
      <c r="F144" s="80"/>
      <c r="G144" s="80">
        <v>10045</v>
      </c>
      <c r="H144" s="81" t="s">
        <v>322</v>
      </c>
      <c r="I144" s="82">
        <v>59259</v>
      </c>
      <c r="J144" s="80"/>
      <c r="K144" s="80"/>
      <c r="L144" s="80" t="str">
        <f>IF(0.767*10045=0," ",TEXT(,ROUND((0.767*10045*7.691),2)))</f>
        <v>59255.42</v>
      </c>
      <c r="M144" s="80"/>
      <c r="N144" s="80"/>
    </row>
    <row r="145" spans="1:14" ht="192">
      <c r="A145" s="78">
        <v>99</v>
      </c>
      <c r="B145" s="79" t="s">
        <v>878</v>
      </c>
      <c r="C145" s="79" t="s">
        <v>323</v>
      </c>
      <c r="D145" s="78">
        <v>0.525</v>
      </c>
      <c r="E145" s="80" t="s">
        <v>324</v>
      </c>
      <c r="F145" s="80" t="s">
        <v>325</v>
      </c>
      <c r="G145" s="80">
        <v>562.56</v>
      </c>
      <c r="H145" s="81" t="s">
        <v>882</v>
      </c>
      <c r="I145" s="82">
        <v>2423</v>
      </c>
      <c r="J145" s="80">
        <v>855</v>
      </c>
      <c r="K145" s="80">
        <v>106</v>
      </c>
      <c r="L145" s="80" t="str">
        <f>IF(0.525*562.56=0," ",TEXT(,ROUND((0.525*562.56*4.94),2)))</f>
        <v>1459</v>
      </c>
      <c r="M145" s="80" t="s">
        <v>326</v>
      </c>
      <c r="N145" s="80" t="s">
        <v>342</v>
      </c>
    </row>
    <row r="146" spans="1:14" ht="216">
      <c r="A146" s="78">
        <v>100</v>
      </c>
      <c r="B146" s="79" t="s">
        <v>343</v>
      </c>
      <c r="C146" s="79" t="s">
        <v>344</v>
      </c>
      <c r="D146" s="78">
        <v>31.4</v>
      </c>
      <c r="E146" s="80" t="s">
        <v>345</v>
      </c>
      <c r="F146" s="80" t="s">
        <v>346</v>
      </c>
      <c r="G146" s="80">
        <v>1.84</v>
      </c>
      <c r="H146" s="81" t="s">
        <v>347</v>
      </c>
      <c r="I146" s="82">
        <v>155099</v>
      </c>
      <c r="J146" s="80">
        <v>91149</v>
      </c>
      <c r="K146" s="80" t="s">
        <v>348</v>
      </c>
      <c r="L146" s="80" t="str">
        <f>IF(31.4*1.84=0," ",TEXT(,ROUND((31.4*1.84*19.16),2)))</f>
        <v>1106.99</v>
      </c>
      <c r="M146" s="80" t="s">
        <v>349</v>
      </c>
      <c r="N146" s="80" t="s">
        <v>350</v>
      </c>
    </row>
    <row r="147" spans="1:14" ht="60">
      <c r="A147" s="78">
        <v>101</v>
      </c>
      <c r="B147" s="79" t="s">
        <v>351</v>
      </c>
      <c r="C147" s="79" t="s">
        <v>352</v>
      </c>
      <c r="D147" s="78">
        <v>942</v>
      </c>
      <c r="E147" s="80">
        <v>18.53</v>
      </c>
      <c r="F147" s="80"/>
      <c r="G147" s="80">
        <v>18.53</v>
      </c>
      <c r="H147" s="81" t="s">
        <v>353</v>
      </c>
      <c r="I147" s="82">
        <v>213475</v>
      </c>
      <c r="J147" s="80"/>
      <c r="K147" s="80"/>
      <c r="L147" s="80" t="str">
        <f>IF(942*18.53=0," ",TEXT(,ROUND((942*18.53*12.23),2)))</f>
        <v>213477.83</v>
      </c>
      <c r="M147" s="80"/>
      <c r="N147" s="80"/>
    </row>
    <row r="148" spans="1:14" ht="156">
      <c r="A148" s="78">
        <v>102</v>
      </c>
      <c r="B148" s="79" t="s">
        <v>354</v>
      </c>
      <c r="C148" s="79" t="s">
        <v>355</v>
      </c>
      <c r="D148" s="78">
        <v>12</v>
      </c>
      <c r="E148" s="80" t="s">
        <v>356</v>
      </c>
      <c r="F148" s="80">
        <v>1.36</v>
      </c>
      <c r="G148" s="80">
        <v>426.8</v>
      </c>
      <c r="H148" s="81" t="s">
        <v>357</v>
      </c>
      <c r="I148" s="82">
        <v>23653</v>
      </c>
      <c r="J148" s="80">
        <v>4672</v>
      </c>
      <c r="K148" s="80">
        <v>183</v>
      </c>
      <c r="L148" s="80" t="str">
        <f>IF(12*426.8=0," ",TEXT(,ROUND((12*426.8*3.67),2)))</f>
        <v>18796.27</v>
      </c>
      <c r="M148" s="80">
        <v>2.7744</v>
      </c>
      <c r="N148" s="80">
        <v>33.29</v>
      </c>
    </row>
    <row r="149" spans="1:14" ht="192">
      <c r="A149" s="78">
        <v>103</v>
      </c>
      <c r="B149" s="79" t="s">
        <v>878</v>
      </c>
      <c r="C149" s="79" t="s">
        <v>323</v>
      </c>
      <c r="D149" s="78">
        <v>0.066</v>
      </c>
      <c r="E149" s="80" t="s">
        <v>324</v>
      </c>
      <c r="F149" s="80" t="s">
        <v>325</v>
      </c>
      <c r="G149" s="80">
        <v>562.56</v>
      </c>
      <c r="H149" s="81" t="s">
        <v>882</v>
      </c>
      <c r="I149" s="82">
        <v>309</v>
      </c>
      <c r="J149" s="80">
        <v>115</v>
      </c>
      <c r="K149" s="80">
        <v>11</v>
      </c>
      <c r="L149" s="80" t="str">
        <f>IF(0.066*562.56=0," ",TEXT(,ROUND((0.066*562.56*4.94),2)))</f>
        <v>183.42</v>
      </c>
      <c r="M149" s="80" t="s">
        <v>326</v>
      </c>
      <c r="N149" s="80">
        <v>0.73</v>
      </c>
    </row>
    <row r="150" spans="1:14" ht="24">
      <c r="A150" s="107" t="s">
        <v>814</v>
      </c>
      <c r="B150" s="107"/>
      <c r="C150" s="107"/>
      <c r="D150" s="107"/>
      <c r="E150" s="107"/>
      <c r="F150" s="107"/>
      <c r="G150" s="107"/>
      <c r="H150" s="107"/>
      <c r="I150" s="82">
        <v>389990</v>
      </c>
      <c r="J150" s="80">
        <v>36703</v>
      </c>
      <c r="K150" s="80" t="s">
        <v>358</v>
      </c>
      <c r="L150" s="80">
        <v>337007</v>
      </c>
      <c r="M150" s="80"/>
      <c r="N150" s="80" t="s">
        <v>359</v>
      </c>
    </row>
    <row r="151" spans="1:14" ht="24">
      <c r="A151" s="107" t="s">
        <v>817</v>
      </c>
      <c r="B151" s="107"/>
      <c r="C151" s="107"/>
      <c r="D151" s="107"/>
      <c r="E151" s="107"/>
      <c r="F151" s="107"/>
      <c r="G151" s="107"/>
      <c r="H151" s="107"/>
      <c r="I151" s="82">
        <v>2585336</v>
      </c>
      <c r="J151" s="80">
        <v>603768</v>
      </c>
      <c r="K151" s="80" t="s">
        <v>360</v>
      </c>
      <c r="L151" s="80">
        <v>1803592</v>
      </c>
      <c r="M151" s="80"/>
      <c r="N151" s="80" t="s">
        <v>359</v>
      </c>
    </row>
    <row r="152" spans="1:14" ht="12">
      <c r="A152" s="107" t="s">
        <v>819</v>
      </c>
      <c r="B152" s="107"/>
      <c r="C152" s="107"/>
      <c r="D152" s="107"/>
      <c r="E152" s="107"/>
      <c r="F152" s="107"/>
      <c r="G152" s="107"/>
      <c r="H152" s="107"/>
      <c r="I152" s="82">
        <v>524774</v>
      </c>
      <c r="J152" s="80"/>
      <c r="K152" s="80"/>
      <c r="L152" s="80"/>
      <c r="M152" s="80"/>
      <c r="N152" s="80"/>
    </row>
    <row r="153" spans="1:14" ht="12">
      <c r="A153" s="107" t="s">
        <v>820</v>
      </c>
      <c r="B153" s="107"/>
      <c r="C153" s="107"/>
      <c r="D153" s="107"/>
      <c r="E153" s="107"/>
      <c r="F153" s="107"/>
      <c r="G153" s="107"/>
      <c r="H153" s="107"/>
      <c r="I153" s="82">
        <v>291797</v>
      </c>
      <c r="J153" s="80"/>
      <c r="K153" s="80"/>
      <c r="L153" s="80"/>
      <c r="M153" s="80"/>
      <c r="N153" s="80"/>
    </row>
    <row r="154" spans="1:14" ht="12">
      <c r="A154" s="108" t="s">
        <v>361</v>
      </c>
      <c r="B154" s="108"/>
      <c r="C154" s="108"/>
      <c r="D154" s="108"/>
      <c r="E154" s="108"/>
      <c r="F154" s="108"/>
      <c r="G154" s="108"/>
      <c r="H154" s="108"/>
      <c r="I154" s="82"/>
      <c r="J154" s="80"/>
      <c r="K154" s="80"/>
      <c r="L154" s="80"/>
      <c r="M154" s="80"/>
      <c r="N154" s="80"/>
    </row>
    <row r="155" spans="1:14" ht="24">
      <c r="A155" s="107" t="s">
        <v>362</v>
      </c>
      <c r="B155" s="107"/>
      <c r="C155" s="107"/>
      <c r="D155" s="107"/>
      <c r="E155" s="107"/>
      <c r="F155" s="107"/>
      <c r="G155" s="107"/>
      <c r="H155" s="107"/>
      <c r="I155" s="82">
        <v>42389</v>
      </c>
      <c r="J155" s="80"/>
      <c r="K155" s="80"/>
      <c r="L155" s="80"/>
      <c r="M155" s="80"/>
      <c r="N155" s="80" t="s">
        <v>363</v>
      </c>
    </row>
    <row r="156" spans="1:14" ht="24" customHeight="1">
      <c r="A156" s="107" t="s">
        <v>824</v>
      </c>
      <c r="B156" s="107"/>
      <c r="C156" s="107"/>
      <c r="D156" s="107"/>
      <c r="E156" s="107"/>
      <c r="F156" s="107"/>
      <c r="G156" s="107"/>
      <c r="H156" s="107"/>
      <c r="I156" s="82">
        <v>40645</v>
      </c>
      <c r="J156" s="80"/>
      <c r="K156" s="80"/>
      <c r="L156" s="80"/>
      <c r="M156" s="80"/>
      <c r="N156" s="80" t="s">
        <v>852</v>
      </c>
    </row>
    <row r="157" spans="1:14" ht="12">
      <c r="A157" s="107" t="s">
        <v>364</v>
      </c>
      <c r="B157" s="107"/>
      <c r="C157" s="107"/>
      <c r="D157" s="107"/>
      <c r="E157" s="107"/>
      <c r="F157" s="107"/>
      <c r="G157" s="107"/>
      <c r="H157" s="107"/>
      <c r="I157" s="82">
        <v>755885</v>
      </c>
      <c r="J157" s="80"/>
      <c r="K157" s="80"/>
      <c r="L157" s="80"/>
      <c r="M157" s="80"/>
      <c r="N157" s="80"/>
    </row>
    <row r="158" spans="1:14" ht="24">
      <c r="A158" s="107" t="s">
        <v>365</v>
      </c>
      <c r="B158" s="107"/>
      <c r="C158" s="107"/>
      <c r="D158" s="107"/>
      <c r="E158" s="107"/>
      <c r="F158" s="107"/>
      <c r="G158" s="107"/>
      <c r="H158" s="107"/>
      <c r="I158" s="82">
        <v>166882</v>
      </c>
      <c r="J158" s="80"/>
      <c r="K158" s="80"/>
      <c r="L158" s="80"/>
      <c r="M158" s="80"/>
      <c r="N158" s="80" t="s">
        <v>366</v>
      </c>
    </row>
    <row r="159" spans="1:14" ht="24">
      <c r="A159" s="107" t="s">
        <v>367</v>
      </c>
      <c r="B159" s="107"/>
      <c r="C159" s="107"/>
      <c r="D159" s="107"/>
      <c r="E159" s="107"/>
      <c r="F159" s="107"/>
      <c r="G159" s="107"/>
      <c r="H159" s="107"/>
      <c r="I159" s="82">
        <v>9848</v>
      </c>
      <c r="J159" s="80"/>
      <c r="K159" s="80"/>
      <c r="L159" s="80"/>
      <c r="M159" s="80"/>
      <c r="N159" s="80" t="s">
        <v>368</v>
      </c>
    </row>
    <row r="160" spans="1:14" ht="24">
      <c r="A160" s="107" t="s">
        <v>369</v>
      </c>
      <c r="B160" s="107"/>
      <c r="C160" s="107"/>
      <c r="D160" s="107"/>
      <c r="E160" s="107"/>
      <c r="F160" s="107"/>
      <c r="G160" s="107"/>
      <c r="H160" s="107"/>
      <c r="I160" s="82">
        <v>972836</v>
      </c>
      <c r="J160" s="80"/>
      <c r="K160" s="80"/>
      <c r="L160" s="80"/>
      <c r="M160" s="80"/>
      <c r="N160" s="80" t="s">
        <v>370</v>
      </c>
    </row>
    <row r="161" spans="1:14" ht="24">
      <c r="A161" s="107" t="s">
        <v>826</v>
      </c>
      <c r="B161" s="107"/>
      <c r="C161" s="107"/>
      <c r="D161" s="107"/>
      <c r="E161" s="107"/>
      <c r="F161" s="107"/>
      <c r="G161" s="107"/>
      <c r="H161" s="107"/>
      <c r="I161" s="82">
        <v>230872</v>
      </c>
      <c r="J161" s="80"/>
      <c r="K161" s="80"/>
      <c r="L161" s="80"/>
      <c r="M161" s="80"/>
      <c r="N161" s="80" t="s">
        <v>371</v>
      </c>
    </row>
    <row r="162" spans="1:14" ht="24">
      <c r="A162" s="107" t="s">
        <v>372</v>
      </c>
      <c r="B162" s="107"/>
      <c r="C162" s="107"/>
      <c r="D162" s="107"/>
      <c r="E162" s="107"/>
      <c r="F162" s="107"/>
      <c r="G162" s="107"/>
      <c r="H162" s="107"/>
      <c r="I162" s="82">
        <v>8960</v>
      </c>
      <c r="J162" s="80"/>
      <c r="K162" s="80"/>
      <c r="L162" s="80"/>
      <c r="M162" s="80"/>
      <c r="N162" s="80" t="s">
        <v>373</v>
      </c>
    </row>
    <row r="163" spans="1:14" ht="24" customHeight="1">
      <c r="A163" s="107" t="s">
        <v>822</v>
      </c>
      <c r="B163" s="107"/>
      <c r="C163" s="107"/>
      <c r="D163" s="107"/>
      <c r="E163" s="107"/>
      <c r="F163" s="107"/>
      <c r="G163" s="107"/>
      <c r="H163" s="107"/>
      <c r="I163" s="82">
        <v>3504</v>
      </c>
      <c r="J163" s="80"/>
      <c r="K163" s="80"/>
      <c r="L163" s="80"/>
      <c r="M163" s="80"/>
      <c r="N163" s="80">
        <v>10.18</v>
      </c>
    </row>
    <row r="164" spans="1:14" ht="12">
      <c r="A164" s="107" t="s">
        <v>374</v>
      </c>
      <c r="B164" s="107"/>
      <c r="C164" s="107"/>
      <c r="D164" s="107"/>
      <c r="E164" s="107"/>
      <c r="F164" s="107"/>
      <c r="G164" s="107"/>
      <c r="H164" s="107"/>
      <c r="I164" s="82">
        <v>12355</v>
      </c>
      <c r="J164" s="80"/>
      <c r="K164" s="80"/>
      <c r="L164" s="80"/>
      <c r="M164" s="80"/>
      <c r="N164" s="80">
        <v>7.61</v>
      </c>
    </row>
    <row r="165" spans="1:14" ht="12">
      <c r="A165" s="107" t="s">
        <v>375</v>
      </c>
      <c r="B165" s="107"/>
      <c r="C165" s="107"/>
      <c r="D165" s="107"/>
      <c r="E165" s="107"/>
      <c r="F165" s="107"/>
      <c r="G165" s="107"/>
      <c r="H165" s="107"/>
      <c r="I165" s="82">
        <v>1150</v>
      </c>
      <c r="J165" s="80"/>
      <c r="K165" s="80"/>
      <c r="L165" s="80"/>
      <c r="M165" s="80"/>
      <c r="N165" s="80"/>
    </row>
    <row r="166" spans="1:14" ht="24">
      <c r="A166" s="107" t="s">
        <v>376</v>
      </c>
      <c r="B166" s="107"/>
      <c r="C166" s="107"/>
      <c r="D166" s="107"/>
      <c r="E166" s="107"/>
      <c r="F166" s="107"/>
      <c r="G166" s="107"/>
      <c r="H166" s="107"/>
      <c r="I166" s="82">
        <v>88149</v>
      </c>
      <c r="J166" s="80"/>
      <c r="K166" s="80"/>
      <c r="L166" s="80"/>
      <c r="M166" s="80"/>
      <c r="N166" s="80" t="s">
        <v>167</v>
      </c>
    </row>
    <row r="167" spans="1:14" ht="24">
      <c r="A167" s="107" t="s">
        <v>377</v>
      </c>
      <c r="B167" s="107"/>
      <c r="C167" s="107"/>
      <c r="D167" s="107"/>
      <c r="E167" s="107"/>
      <c r="F167" s="107"/>
      <c r="G167" s="107"/>
      <c r="H167" s="107"/>
      <c r="I167" s="82">
        <v>359267</v>
      </c>
      <c r="J167" s="80"/>
      <c r="K167" s="80"/>
      <c r="L167" s="80"/>
      <c r="M167" s="80"/>
      <c r="N167" s="80" t="s">
        <v>378</v>
      </c>
    </row>
    <row r="168" spans="1:14" ht="24">
      <c r="A168" s="107" t="s">
        <v>379</v>
      </c>
      <c r="B168" s="107"/>
      <c r="C168" s="107"/>
      <c r="D168" s="107"/>
      <c r="E168" s="107"/>
      <c r="F168" s="107"/>
      <c r="G168" s="107"/>
      <c r="H168" s="107"/>
      <c r="I168" s="82">
        <v>40399</v>
      </c>
      <c r="J168" s="80"/>
      <c r="K168" s="80"/>
      <c r="L168" s="80"/>
      <c r="M168" s="80"/>
      <c r="N168" s="80" t="s">
        <v>186</v>
      </c>
    </row>
    <row r="169" spans="1:14" ht="24" customHeight="1">
      <c r="A169" s="107" t="s">
        <v>380</v>
      </c>
      <c r="B169" s="107"/>
      <c r="C169" s="107"/>
      <c r="D169" s="107"/>
      <c r="E169" s="107"/>
      <c r="F169" s="107"/>
      <c r="G169" s="107"/>
      <c r="H169" s="107"/>
      <c r="I169" s="82">
        <v>16013</v>
      </c>
      <c r="J169" s="80"/>
      <c r="K169" s="80"/>
      <c r="L169" s="80"/>
      <c r="M169" s="80"/>
      <c r="N169" s="80" t="s">
        <v>215</v>
      </c>
    </row>
    <row r="170" spans="1:14" ht="24">
      <c r="A170" s="107" t="s">
        <v>381</v>
      </c>
      <c r="B170" s="107"/>
      <c r="C170" s="107"/>
      <c r="D170" s="107"/>
      <c r="E170" s="107"/>
      <c r="F170" s="107"/>
      <c r="G170" s="107"/>
      <c r="H170" s="107"/>
      <c r="I170" s="82">
        <v>652753</v>
      </c>
      <c r="J170" s="80"/>
      <c r="K170" s="80"/>
      <c r="L170" s="80"/>
      <c r="M170" s="80"/>
      <c r="N170" s="80" t="s">
        <v>382</v>
      </c>
    </row>
    <row r="171" spans="1:14" ht="24">
      <c r="A171" s="107" t="s">
        <v>830</v>
      </c>
      <c r="B171" s="107"/>
      <c r="C171" s="107"/>
      <c r="D171" s="107"/>
      <c r="E171" s="107"/>
      <c r="F171" s="107"/>
      <c r="G171" s="107"/>
      <c r="H171" s="107"/>
      <c r="I171" s="82">
        <v>3401907</v>
      </c>
      <c r="J171" s="80"/>
      <c r="K171" s="80"/>
      <c r="L171" s="80"/>
      <c r="M171" s="80"/>
      <c r="N171" s="80" t="s">
        <v>359</v>
      </c>
    </row>
    <row r="172" spans="1:14" ht="12">
      <c r="A172" s="107" t="s">
        <v>831</v>
      </c>
      <c r="B172" s="107"/>
      <c r="C172" s="107"/>
      <c r="D172" s="107"/>
      <c r="E172" s="107"/>
      <c r="F172" s="107"/>
      <c r="G172" s="107"/>
      <c r="H172" s="107"/>
      <c r="I172" s="82"/>
      <c r="J172" s="80"/>
      <c r="K172" s="80"/>
      <c r="L172" s="80"/>
      <c r="M172" s="80"/>
      <c r="N172" s="80"/>
    </row>
    <row r="173" spans="1:14" ht="12">
      <c r="A173" s="107" t="s">
        <v>832</v>
      </c>
      <c r="B173" s="107"/>
      <c r="C173" s="107"/>
      <c r="D173" s="107"/>
      <c r="E173" s="107"/>
      <c r="F173" s="107"/>
      <c r="G173" s="107"/>
      <c r="H173" s="107"/>
      <c r="I173" s="82">
        <v>1803592</v>
      </c>
      <c r="J173" s="80"/>
      <c r="K173" s="80"/>
      <c r="L173" s="80"/>
      <c r="M173" s="80"/>
      <c r="N173" s="80"/>
    </row>
    <row r="174" spans="1:14" ht="12">
      <c r="A174" s="107" t="s">
        <v>833</v>
      </c>
      <c r="B174" s="107"/>
      <c r="C174" s="107"/>
      <c r="D174" s="107"/>
      <c r="E174" s="107"/>
      <c r="F174" s="107"/>
      <c r="G174" s="107"/>
      <c r="H174" s="107"/>
      <c r="I174" s="82">
        <v>177976</v>
      </c>
      <c r="J174" s="80"/>
      <c r="K174" s="80"/>
      <c r="L174" s="80"/>
      <c r="M174" s="80"/>
      <c r="N174" s="80"/>
    </row>
    <row r="175" spans="1:14" ht="12">
      <c r="A175" s="107" t="s">
        <v>834</v>
      </c>
      <c r="B175" s="107"/>
      <c r="C175" s="107"/>
      <c r="D175" s="107"/>
      <c r="E175" s="107"/>
      <c r="F175" s="107"/>
      <c r="G175" s="107"/>
      <c r="H175" s="107"/>
      <c r="I175" s="82">
        <v>620087</v>
      </c>
      <c r="J175" s="80"/>
      <c r="K175" s="80"/>
      <c r="L175" s="80"/>
      <c r="M175" s="80"/>
      <c r="N175" s="80"/>
    </row>
    <row r="176" spans="1:14" ht="12">
      <c r="A176" s="107" t="s">
        <v>835</v>
      </c>
      <c r="B176" s="107"/>
      <c r="C176" s="107"/>
      <c r="D176" s="107"/>
      <c r="E176" s="107"/>
      <c r="F176" s="107"/>
      <c r="G176" s="107"/>
      <c r="H176" s="107"/>
      <c r="I176" s="82">
        <v>524774</v>
      </c>
      <c r="J176" s="80"/>
      <c r="K176" s="80"/>
      <c r="L176" s="80"/>
      <c r="M176" s="80"/>
      <c r="N176" s="80"/>
    </row>
    <row r="177" spans="1:14" ht="12">
      <c r="A177" s="107" t="s">
        <v>836</v>
      </c>
      <c r="B177" s="107"/>
      <c r="C177" s="107"/>
      <c r="D177" s="107"/>
      <c r="E177" s="107"/>
      <c r="F177" s="107"/>
      <c r="G177" s="107"/>
      <c r="H177" s="107"/>
      <c r="I177" s="82">
        <v>291797</v>
      </c>
      <c r="J177" s="80"/>
      <c r="K177" s="80"/>
      <c r="L177" s="80"/>
      <c r="M177" s="80"/>
      <c r="N177" s="80"/>
    </row>
    <row r="178" spans="1:14" ht="24">
      <c r="A178" s="108" t="s">
        <v>383</v>
      </c>
      <c r="B178" s="108"/>
      <c r="C178" s="108"/>
      <c r="D178" s="108"/>
      <c r="E178" s="108"/>
      <c r="F178" s="108"/>
      <c r="G178" s="108"/>
      <c r="H178" s="108"/>
      <c r="I178" s="82">
        <v>3401907</v>
      </c>
      <c r="J178" s="80"/>
      <c r="K178" s="80"/>
      <c r="L178" s="80"/>
      <c r="M178" s="80"/>
      <c r="N178" s="80" t="s">
        <v>359</v>
      </c>
    </row>
    <row r="179" spans="1:14" ht="17.25" customHeight="1">
      <c r="A179" s="108" t="s">
        <v>384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1:14" ht="156">
      <c r="A180" s="78">
        <v>104</v>
      </c>
      <c r="B180" s="79" t="s">
        <v>385</v>
      </c>
      <c r="C180" s="79" t="s">
        <v>386</v>
      </c>
      <c r="D180" s="78">
        <v>0.714</v>
      </c>
      <c r="E180" s="80" t="s">
        <v>387</v>
      </c>
      <c r="F180" s="80" t="s">
        <v>388</v>
      </c>
      <c r="G180" s="80">
        <v>121.34</v>
      </c>
      <c r="H180" s="81" t="s">
        <v>389</v>
      </c>
      <c r="I180" s="82">
        <v>4705</v>
      </c>
      <c r="J180" s="80">
        <v>1003</v>
      </c>
      <c r="K180" s="80" t="s">
        <v>390</v>
      </c>
      <c r="L180" s="80" t="str">
        <f>IF(0.714*121.34=0," ",TEXT(,ROUND((0.714*121.34*5.48),2)))</f>
        <v>474.77</v>
      </c>
      <c r="M180" s="80" t="s">
        <v>391</v>
      </c>
      <c r="N180" s="80" t="s">
        <v>392</v>
      </c>
    </row>
    <row r="181" spans="1:14" ht="96">
      <c r="A181" s="78">
        <v>105</v>
      </c>
      <c r="B181" s="79" t="s">
        <v>393</v>
      </c>
      <c r="C181" s="79" t="s">
        <v>394</v>
      </c>
      <c r="D181" s="78">
        <v>0.6253</v>
      </c>
      <c r="E181" s="80">
        <v>9869.85</v>
      </c>
      <c r="F181" s="80"/>
      <c r="G181" s="80">
        <v>9869.85</v>
      </c>
      <c r="H181" s="81" t="s">
        <v>395</v>
      </c>
      <c r="I181" s="82">
        <v>26262</v>
      </c>
      <c r="J181" s="80"/>
      <c r="K181" s="80"/>
      <c r="L181" s="80" t="str">
        <f>IF(0.6253*9869.85=0," ",TEXT(,ROUND((0.6253*9869.85*4.255),2)))</f>
        <v>26260.23</v>
      </c>
      <c r="M181" s="80"/>
      <c r="N181" s="80"/>
    </row>
    <row r="182" spans="1:14" ht="120">
      <c r="A182" s="78">
        <v>106</v>
      </c>
      <c r="B182" s="79" t="s">
        <v>396</v>
      </c>
      <c r="C182" s="79" t="s">
        <v>397</v>
      </c>
      <c r="D182" s="78">
        <v>0.0882</v>
      </c>
      <c r="E182" s="80">
        <v>11255</v>
      </c>
      <c r="F182" s="80"/>
      <c r="G182" s="80">
        <v>11255</v>
      </c>
      <c r="H182" s="81" t="s">
        <v>398</v>
      </c>
      <c r="I182" s="82">
        <v>5359</v>
      </c>
      <c r="J182" s="80"/>
      <c r="K182" s="80"/>
      <c r="L182" s="80" t="str">
        <f>IF(0.0882*11255=0," ",TEXT(,ROUND((0.0882*11255*5.397),2)))</f>
        <v>5357.55</v>
      </c>
      <c r="M182" s="80"/>
      <c r="N182" s="80"/>
    </row>
    <row r="183" spans="1:14" ht="204">
      <c r="A183" s="78">
        <v>107</v>
      </c>
      <c r="B183" s="79" t="s">
        <v>399</v>
      </c>
      <c r="C183" s="79" t="s">
        <v>400</v>
      </c>
      <c r="D183" s="78">
        <v>0.94</v>
      </c>
      <c r="E183" s="80" t="s">
        <v>401</v>
      </c>
      <c r="F183" s="80">
        <v>32.03</v>
      </c>
      <c r="G183" s="80">
        <v>14627.68</v>
      </c>
      <c r="H183" s="81" t="s">
        <v>402</v>
      </c>
      <c r="I183" s="82">
        <v>113517</v>
      </c>
      <c r="J183" s="80">
        <v>29643</v>
      </c>
      <c r="K183" s="80">
        <v>136</v>
      </c>
      <c r="L183" s="80" t="str">
        <f>IF(0.94*14627.68=0," ",TEXT(,ROUND((0.94*14627.68*6.09),2)))</f>
        <v>83737.62</v>
      </c>
      <c r="M183" s="80">
        <v>211.3125</v>
      </c>
      <c r="N183" s="80">
        <v>198.63</v>
      </c>
    </row>
    <row r="184" spans="1:14" ht="48">
      <c r="A184" s="78">
        <v>108</v>
      </c>
      <c r="B184" s="79" t="s">
        <v>176</v>
      </c>
      <c r="C184" s="79" t="s">
        <v>177</v>
      </c>
      <c r="D184" s="78">
        <v>23.5</v>
      </c>
      <c r="E184" s="80">
        <v>693.24</v>
      </c>
      <c r="F184" s="80"/>
      <c r="G184" s="80">
        <v>693.24</v>
      </c>
      <c r="H184" s="81" t="s">
        <v>178</v>
      </c>
      <c r="I184" s="82">
        <v>90904</v>
      </c>
      <c r="J184" s="80"/>
      <c r="K184" s="80"/>
      <c r="L184" s="80" t="str">
        <f>IF(23.5*693.24=0," ",TEXT(,ROUND((23.5*693.24*5.58),2)))</f>
        <v>90904.56</v>
      </c>
      <c r="M184" s="80"/>
      <c r="N184" s="80"/>
    </row>
    <row r="185" spans="1:14" ht="156">
      <c r="A185" s="78">
        <v>109</v>
      </c>
      <c r="B185" s="79" t="s">
        <v>403</v>
      </c>
      <c r="C185" s="79" t="s">
        <v>404</v>
      </c>
      <c r="D185" s="78">
        <v>1.6</v>
      </c>
      <c r="E185" s="80" t="s">
        <v>405</v>
      </c>
      <c r="F185" s="80">
        <v>15.94</v>
      </c>
      <c r="G185" s="80">
        <v>60.66</v>
      </c>
      <c r="H185" s="81" t="s">
        <v>406</v>
      </c>
      <c r="I185" s="82">
        <v>1439</v>
      </c>
      <c r="J185" s="80">
        <v>806</v>
      </c>
      <c r="K185" s="80">
        <v>165</v>
      </c>
      <c r="L185" s="80" t="str">
        <f>IF(1.6*60.66=0," ",TEXT(,ROUND((1.6*60.66*4.87),2)))</f>
        <v>472.66</v>
      </c>
      <c r="M185" s="80">
        <v>2.9756</v>
      </c>
      <c r="N185" s="80">
        <v>4.76</v>
      </c>
    </row>
    <row r="186" spans="1:14" ht="60">
      <c r="A186" s="78">
        <v>110</v>
      </c>
      <c r="B186" s="79" t="s">
        <v>407</v>
      </c>
      <c r="C186" s="79" t="s">
        <v>408</v>
      </c>
      <c r="D186" s="78">
        <v>1</v>
      </c>
      <c r="E186" s="80">
        <v>2679.27</v>
      </c>
      <c r="F186" s="80"/>
      <c r="G186" s="80">
        <v>2679.27</v>
      </c>
      <c r="H186" s="81" t="s">
        <v>409</v>
      </c>
      <c r="I186" s="82">
        <v>11083</v>
      </c>
      <c r="J186" s="80"/>
      <c r="K186" s="80"/>
      <c r="L186" s="80" t="str">
        <f>IF(1*2679.27=0," ",TEXT(,ROUND((1*2679.27*4.137),2)))</f>
        <v>11084.14</v>
      </c>
      <c r="M186" s="80"/>
      <c r="N186" s="80"/>
    </row>
    <row r="187" spans="1:14" ht="240">
      <c r="A187" s="78">
        <v>111</v>
      </c>
      <c r="B187" s="79" t="s">
        <v>410</v>
      </c>
      <c r="C187" s="79" t="s">
        <v>411</v>
      </c>
      <c r="D187" s="78">
        <v>0.253</v>
      </c>
      <c r="E187" s="80" t="s">
        <v>412</v>
      </c>
      <c r="F187" s="80">
        <v>951.27</v>
      </c>
      <c r="G187" s="80">
        <v>55968.67</v>
      </c>
      <c r="H187" s="81" t="s">
        <v>413</v>
      </c>
      <c r="I187" s="82">
        <v>33742</v>
      </c>
      <c r="J187" s="80">
        <v>9278</v>
      </c>
      <c r="K187" s="80">
        <v>3507</v>
      </c>
      <c r="L187" s="80" t="str">
        <f>IF(0.253*55968.67=0," ",TEXT(,ROUND((0.253*55968.67*1.48),2)))</f>
        <v>20956.91</v>
      </c>
      <c r="M187" s="80">
        <v>255.1706</v>
      </c>
      <c r="N187" s="80">
        <v>64.56</v>
      </c>
    </row>
    <row r="188" spans="1:14" ht="60">
      <c r="A188" s="78">
        <v>112</v>
      </c>
      <c r="B188" s="79" t="s">
        <v>414</v>
      </c>
      <c r="C188" s="79" t="s">
        <v>415</v>
      </c>
      <c r="D188" s="78">
        <v>-364.3</v>
      </c>
      <c r="E188" s="80">
        <v>38.76</v>
      </c>
      <c r="F188" s="80"/>
      <c r="G188" s="80">
        <v>38.76</v>
      </c>
      <c r="H188" s="81" t="s">
        <v>416</v>
      </c>
      <c r="I188" s="82">
        <v>-20728</v>
      </c>
      <c r="J188" s="80"/>
      <c r="K188" s="80"/>
      <c r="L188" s="80" t="str">
        <f>IF(-364.3*38.76=0," ",TEXT(,ROUND((-364.3*38.76*1.468),2)))</f>
        <v>-20728.55</v>
      </c>
      <c r="M188" s="80"/>
      <c r="N188" s="80"/>
    </row>
    <row r="189" spans="1:14" ht="24">
      <c r="A189" s="78">
        <v>113</v>
      </c>
      <c r="B189" s="79" t="s">
        <v>417</v>
      </c>
      <c r="C189" s="79" t="s">
        <v>418</v>
      </c>
      <c r="D189" s="78">
        <v>47.92</v>
      </c>
      <c r="E189" s="80">
        <v>31.89</v>
      </c>
      <c r="F189" s="80"/>
      <c r="G189" s="80">
        <v>31.89</v>
      </c>
      <c r="H189" s="81" t="s">
        <v>178</v>
      </c>
      <c r="I189" s="82">
        <v>8526</v>
      </c>
      <c r="J189" s="80"/>
      <c r="K189" s="80"/>
      <c r="L189" s="80" t="str">
        <f>IF(47.92*31.89=0," ",TEXT(,ROUND((47.92*31.89*5.58),2)))</f>
        <v>8527.18</v>
      </c>
      <c r="M189" s="80"/>
      <c r="N189" s="80"/>
    </row>
    <row r="190" spans="1:14" ht="24">
      <c r="A190" s="107" t="s">
        <v>814</v>
      </c>
      <c r="B190" s="107"/>
      <c r="C190" s="107"/>
      <c r="D190" s="107"/>
      <c r="E190" s="107"/>
      <c r="F190" s="107"/>
      <c r="G190" s="107"/>
      <c r="H190" s="107"/>
      <c r="I190" s="82">
        <v>44714</v>
      </c>
      <c r="J190" s="80">
        <v>2476</v>
      </c>
      <c r="K190" s="80" t="s">
        <v>419</v>
      </c>
      <c r="L190" s="80">
        <v>41635</v>
      </c>
      <c r="M190" s="80"/>
      <c r="N190" s="80" t="s">
        <v>420</v>
      </c>
    </row>
    <row r="191" spans="1:14" ht="24">
      <c r="A191" s="107" t="s">
        <v>817</v>
      </c>
      <c r="B191" s="107"/>
      <c r="C191" s="107"/>
      <c r="D191" s="107"/>
      <c r="E191" s="107"/>
      <c r="F191" s="107"/>
      <c r="G191" s="107"/>
      <c r="H191" s="107"/>
      <c r="I191" s="82">
        <v>274809</v>
      </c>
      <c r="J191" s="80">
        <v>40730</v>
      </c>
      <c r="K191" s="80" t="s">
        <v>421</v>
      </c>
      <c r="L191" s="80">
        <v>227040</v>
      </c>
      <c r="M191" s="80"/>
      <c r="N191" s="80" t="s">
        <v>420</v>
      </c>
    </row>
    <row r="192" spans="1:14" ht="12">
      <c r="A192" s="107" t="s">
        <v>819</v>
      </c>
      <c r="B192" s="107"/>
      <c r="C192" s="107"/>
      <c r="D192" s="107"/>
      <c r="E192" s="107"/>
      <c r="F192" s="107"/>
      <c r="G192" s="107"/>
      <c r="H192" s="107"/>
      <c r="I192" s="82">
        <v>35446</v>
      </c>
      <c r="J192" s="80"/>
      <c r="K192" s="80"/>
      <c r="L192" s="80"/>
      <c r="M192" s="80"/>
      <c r="N192" s="80"/>
    </row>
    <row r="193" spans="1:14" ht="12">
      <c r="A193" s="107" t="s">
        <v>820</v>
      </c>
      <c r="B193" s="107"/>
      <c r="C193" s="107"/>
      <c r="D193" s="107"/>
      <c r="E193" s="107"/>
      <c r="F193" s="107"/>
      <c r="G193" s="107"/>
      <c r="H193" s="107"/>
      <c r="I193" s="82">
        <v>18563</v>
      </c>
      <c r="J193" s="80"/>
      <c r="K193" s="80"/>
      <c r="L193" s="80"/>
      <c r="M193" s="80"/>
      <c r="N193" s="80"/>
    </row>
    <row r="194" spans="1:14" ht="12">
      <c r="A194" s="108" t="s">
        <v>422</v>
      </c>
      <c r="B194" s="108"/>
      <c r="C194" s="108"/>
      <c r="D194" s="108"/>
      <c r="E194" s="108"/>
      <c r="F194" s="108"/>
      <c r="G194" s="108"/>
      <c r="H194" s="108"/>
      <c r="I194" s="82"/>
      <c r="J194" s="80"/>
      <c r="K194" s="80"/>
      <c r="L194" s="80"/>
      <c r="M194" s="80"/>
      <c r="N194" s="80"/>
    </row>
    <row r="195" spans="1:14" ht="24">
      <c r="A195" s="107" t="s">
        <v>365</v>
      </c>
      <c r="B195" s="107"/>
      <c r="C195" s="107"/>
      <c r="D195" s="107"/>
      <c r="E195" s="107"/>
      <c r="F195" s="107"/>
      <c r="G195" s="107"/>
      <c r="H195" s="107"/>
      <c r="I195" s="82">
        <v>9131</v>
      </c>
      <c r="J195" s="80"/>
      <c r="K195" s="80"/>
      <c r="L195" s="80"/>
      <c r="M195" s="80"/>
      <c r="N195" s="80" t="s">
        <v>423</v>
      </c>
    </row>
    <row r="196" spans="1:14" ht="12">
      <c r="A196" s="107" t="s">
        <v>364</v>
      </c>
      <c r="B196" s="107"/>
      <c r="C196" s="107"/>
      <c r="D196" s="107"/>
      <c r="E196" s="107"/>
      <c r="F196" s="107"/>
      <c r="G196" s="107"/>
      <c r="H196" s="107"/>
      <c r="I196" s="82">
        <v>121406</v>
      </c>
      <c r="J196" s="80"/>
      <c r="K196" s="80"/>
      <c r="L196" s="80"/>
      <c r="M196" s="80"/>
      <c r="N196" s="80"/>
    </row>
    <row r="197" spans="1:14" ht="12">
      <c r="A197" s="107" t="s">
        <v>369</v>
      </c>
      <c r="B197" s="107"/>
      <c r="C197" s="107"/>
      <c r="D197" s="107"/>
      <c r="E197" s="107"/>
      <c r="F197" s="107"/>
      <c r="G197" s="107"/>
      <c r="H197" s="107"/>
      <c r="I197" s="82">
        <v>152942</v>
      </c>
      <c r="J197" s="80"/>
      <c r="K197" s="80"/>
      <c r="L197" s="80"/>
      <c r="M197" s="80"/>
      <c r="N197" s="80">
        <v>198.63</v>
      </c>
    </row>
    <row r="198" spans="1:14" ht="12">
      <c r="A198" s="107" t="s">
        <v>377</v>
      </c>
      <c r="B198" s="107"/>
      <c r="C198" s="107"/>
      <c r="D198" s="107"/>
      <c r="E198" s="107"/>
      <c r="F198" s="107"/>
      <c r="G198" s="107"/>
      <c r="H198" s="107"/>
      <c r="I198" s="82">
        <v>45339</v>
      </c>
      <c r="J198" s="80"/>
      <c r="K198" s="80"/>
      <c r="L198" s="80"/>
      <c r="M198" s="80"/>
      <c r="N198" s="80">
        <v>64.56</v>
      </c>
    </row>
    <row r="199" spans="1:14" ht="24">
      <c r="A199" s="107" t="s">
        <v>830</v>
      </c>
      <c r="B199" s="107"/>
      <c r="C199" s="107"/>
      <c r="D199" s="107"/>
      <c r="E199" s="107"/>
      <c r="F199" s="107"/>
      <c r="G199" s="107"/>
      <c r="H199" s="107"/>
      <c r="I199" s="82">
        <v>328818</v>
      </c>
      <c r="J199" s="80"/>
      <c r="K199" s="80"/>
      <c r="L199" s="80"/>
      <c r="M199" s="80"/>
      <c r="N199" s="80" t="s">
        <v>420</v>
      </c>
    </row>
    <row r="200" spans="1:14" ht="12">
      <c r="A200" s="107" t="s">
        <v>831</v>
      </c>
      <c r="B200" s="107"/>
      <c r="C200" s="107"/>
      <c r="D200" s="107"/>
      <c r="E200" s="107"/>
      <c r="F200" s="107"/>
      <c r="G200" s="107"/>
      <c r="H200" s="107"/>
      <c r="I200" s="82"/>
      <c r="J200" s="80"/>
      <c r="K200" s="80"/>
      <c r="L200" s="80"/>
      <c r="M200" s="80"/>
      <c r="N200" s="80"/>
    </row>
    <row r="201" spans="1:14" ht="12">
      <c r="A201" s="107" t="s">
        <v>832</v>
      </c>
      <c r="B201" s="107"/>
      <c r="C201" s="107"/>
      <c r="D201" s="107"/>
      <c r="E201" s="107"/>
      <c r="F201" s="107"/>
      <c r="G201" s="107"/>
      <c r="H201" s="107"/>
      <c r="I201" s="82">
        <v>227040</v>
      </c>
      <c r="J201" s="80"/>
      <c r="K201" s="80"/>
      <c r="L201" s="80"/>
      <c r="M201" s="80"/>
      <c r="N201" s="80"/>
    </row>
    <row r="202" spans="1:14" ht="12">
      <c r="A202" s="107" t="s">
        <v>833</v>
      </c>
      <c r="B202" s="107"/>
      <c r="C202" s="107"/>
      <c r="D202" s="107"/>
      <c r="E202" s="107"/>
      <c r="F202" s="107"/>
      <c r="G202" s="107"/>
      <c r="H202" s="107"/>
      <c r="I202" s="82">
        <v>7039</v>
      </c>
      <c r="J202" s="80"/>
      <c r="K202" s="80"/>
      <c r="L202" s="80"/>
      <c r="M202" s="80"/>
      <c r="N202" s="80"/>
    </row>
    <row r="203" spans="1:14" ht="12">
      <c r="A203" s="107" t="s">
        <v>834</v>
      </c>
      <c r="B203" s="107"/>
      <c r="C203" s="107"/>
      <c r="D203" s="107"/>
      <c r="E203" s="107"/>
      <c r="F203" s="107"/>
      <c r="G203" s="107"/>
      <c r="H203" s="107"/>
      <c r="I203" s="82">
        <v>41273</v>
      </c>
      <c r="J203" s="80"/>
      <c r="K203" s="80"/>
      <c r="L203" s="80"/>
      <c r="M203" s="80"/>
      <c r="N203" s="80"/>
    </row>
    <row r="204" spans="1:14" ht="12">
      <c r="A204" s="107" t="s">
        <v>835</v>
      </c>
      <c r="B204" s="107"/>
      <c r="C204" s="107"/>
      <c r="D204" s="107"/>
      <c r="E204" s="107"/>
      <c r="F204" s="107"/>
      <c r="G204" s="107"/>
      <c r="H204" s="107"/>
      <c r="I204" s="82">
        <v>35446</v>
      </c>
      <c r="J204" s="80"/>
      <c r="K204" s="80"/>
      <c r="L204" s="80"/>
      <c r="M204" s="80"/>
      <c r="N204" s="80"/>
    </row>
    <row r="205" spans="1:14" ht="12">
      <c r="A205" s="107" t="s">
        <v>836</v>
      </c>
      <c r="B205" s="107"/>
      <c r="C205" s="107"/>
      <c r="D205" s="107"/>
      <c r="E205" s="107"/>
      <c r="F205" s="107"/>
      <c r="G205" s="107"/>
      <c r="H205" s="107"/>
      <c r="I205" s="82">
        <v>18563</v>
      </c>
      <c r="J205" s="80"/>
      <c r="K205" s="80"/>
      <c r="L205" s="80"/>
      <c r="M205" s="80"/>
      <c r="N205" s="80"/>
    </row>
    <row r="206" spans="1:14" ht="24">
      <c r="A206" s="108" t="s">
        <v>424</v>
      </c>
      <c r="B206" s="108"/>
      <c r="C206" s="108"/>
      <c r="D206" s="108"/>
      <c r="E206" s="108"/>
      <c r="F206" s="108"/>
      <c r="G206" s="108"/>
      <c r="H206" s="108"/>
      <c r="I206" s="82">
        <v>328818</v>
      </c>
      <c r="J206" s="80"/>
      <c r="K206" s="80"/>
      <c r="L206" s="80"/>
      <c r="M206" s="80"/>
      <c r="N206" s="80" t="s">
        <v>420</v>
      </c>
    </row>
    <row r="207" spans="1:14" ht="17.25" customHeight="1">
      <c r="A207" s="108" t="s">
        <v>425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</row>
    <row r="208" spans="1:14" ht="120">
      <c r="A208" s="78">
        <v>114</v>
      </c>
      <c r="B208" s="79" t="s">
        <v>247</v>
      </c>
      <c r="C208" s="79" t="s">
        <v>426</v>
      </c>
      <c r="D208" s="78">
        <v>6.58</v>
      </c>
      <c r="E208" s="80" t="s">
        <v>427</v>
      </c>
      <c r="F208" s="80">
        <v>13.08</v>
      </c>
      <c r="G208" s="80">
        <v>1766.66</v>
      </c>
      <c r="H208" s="81" t="s">
        <v>250</v>
      </c>
      <c r="I208" s="82">
        <v>68911</v>
      </c>
      <c r="J208" s="80">
        <v>9804</v>
      </c>
      <c r="K208" s="80">
        <v>982</v>
      </c>
      <c r="L208" s="80" t="str">
        <f>IF(6.58*1766.66=0," ",TEXT(,ROUND((6.58*1766.66*5),2)))</f>
        <v>58123.11</v>
      </c>
      <c r="M208" s="80">
        <v>11.3</v>
      </c>
      <c r="N208" s="80">
        <v>74.35</v>
      </c>
    </row>
    <row r="209" spans="1:14" ht="60">
      <c r="A209" s="78">
        <v>115</v>
      </c>
      <c r="B209" s="79" t="s">
        <v>251</v>
      </c>
      <c r="C209" s="79" t="s">
        <v>252</v>
      </c>
      <c r="D209" s="78">
        <v>-1513</v>
      </c>
      <c r="E209" s="80">
        <v>7.46</v>
      </c>
      <c r="F209" s="80"/>
      <c r="G209" s="80">
        <v>7.46</v>
      </c>
      <c r="H209" s="81" t="s">
        <v>253</v>
      </c>
      <c r="I209" s="82">
        <v>-56424</v>
      </c>
      <c r="J209" s="80"/>
      <c r="K209" s="80"/>
      <c r="L209" s="80" t="str">
        <f>IF(-1513*7.46=0," ",TEXT(,ROUND((-1513*7.46*4.999),2)))</f>
        <v>-56423.61</v>
      </c>
      <c r="M209" s="80"/>
      <c r="N209" s="80"/>
    </row>
    <row r="210" spans="1:14" ht="60">
      <c r="A210" s="78">
        <v>116</v>
      </c>
      <c r="B210" s="79" t="s">
        <v>236</v>
      </c>
      <c r="C210" s="79" t="s">
        <v>237</v>
      </c>
      <c r="D210" s="78" t="s">
        <v>428</v>
      </c>
      <c r="E210" s="80">
        <v>27.5</v>
      </c>
      <c r="F210" s="80"/>
      <c r="G210" s="80">
        <v>27.5</v>
      </c>
      <c r="H210" s="81" t="s">
        <v>238</v>
      </c>
      <c r="I210" s="82">
        <v>10301</v>
      </c>
      <c r="J210" s="80"/>
      <c r="K210" s="80"/>
      <c r="L210" s="80" t="str">
        <f>IF(75.67*27.5=0," ",TEXT(,ROUND((75.67*27.5*4.95),2)))</f>
        <v>10300.58</v>
      </c>
      <c r="M210" s="80"/>
      <c r="N210" s="80"/>
    </row>
    <row r="211" spans="1:14" ht="60">
      <c r="A211" s="78">
        <v>117</v>
      </c>
      <c r="B211" s="79" t="s">
        <v>429</v>
      </c>
      <c r="C211" s="79" t="s">
        <v>430</v>
      </c>
      <c r="D211" s="78" t="s">
        <v>428</v>
      </c>
      <c r="E211" s="80">
        <v>39.2</v>
      </c>
      <c r="F211" s="80"/>
      <c r="G211" s="80">
        <v>39.2</v>
      </c>
      <c r="H211" s="81" t="s">
        <v>431</v>
      </c>
      <c r="I211" s="82">
        <v>14711</v>
      </c>
      <c r="J211" s="80"/>
      <c r="K211" s="80"/>
      <c r="L211" s="80" t="str">
        <f>IF(75.67*39.2=0," ",TEXT(,ROUND((75.67*39.2*4.96),2)))</f>
        <v>14712.67</v>
      </c>
      <c r="M211" s="80"/>
      <c r="N211" s="80"/>
    </row>
    <row r="212" spans="1:14" ht="192">
      <c r="A212" s="78">
        <v>118</v>
      </c>
      <c r="B212" s="79" t="s">
        <v>432</v>
      </c>
      <c r="C212" s="79" t="s">
        <v>0</v>
      </c>
      <c r="D212" s="78">
        <v>6.58</v>
      </c>
      <c r="E212" s="80" t="s">
        <v>1</v>
      </c>
      <c r="F212" s="80" t="s">
        <v>2</v>
      </c>
      <c r="G212" s="80"/>
      <c r="H212" s="81" t="s">
        <v>3</v>
      </c>
      <c r="I212" s="82">
        <v>79641</v>
      </c>
      <c r="J212" s="80">
        <v>67396</v>
      </c>
      <c r="K212" s="80" t="s">
        <v>4</v>
      </c>
      <c r="L212" s="80" t="str">
        <f>IF(6.58*0=0," ",TEXT(,ROUND((6.58*0*6.8),2)))</f>
        <v> </v>
      </c>
      <c r="M212" s="80" t="s">
        <v>5</v>
      </c>
      <c r="N212" s="80" t="s">
        <v>6</v>
      </c>
    </row>
    <row r="213" spans="1:14" ht="204">
      <c r="A213" s="78">
        <v>119</v>
      </c>
      <c r="B213" s="79" t="s">
        <v>7</v>
      </c>
      <c r="C213" s="79" t="s">
        <v>8</v>
      </c>
      <c r="D213" s="78">
        <v>6.58</v>
      </c>
      <c r="E213" s="80" t="s">
        <v>9</v>
      </c>
      <c r="F213" s="80" t="s">
        <v>10</v>
      </c>
      <c r="G213" s="80"/>
      <c r="H213" s="81" t="s">
        <v>3</v>
      </c>
      <c r="I213" s="82">
        <v>127803</v>
      </c>
      <c r="J213" s="80">
        <v>104359</v>
      </c>
      <c r="K213" s="80" t="s">
        <v>11</v>
      </c>
      <c r="L213" s="80" t="str">
        <f>IF(6.58*0=0," ",TEXT(,ROUND((6.58*0*6.8),2)))</f>
        <v> </v>
      </c>
      <c r="M213" s="80" t="s">
        <v>12</v>
      </c>
      <c r="N213" s="80" t="s">
        <v>13</v>
      </c>
    </row>
    <row r="214" spans="1:14" ht="48">
      <c r="A214" s="78">
        <v>120</v>
      </c>
      <c r="B214" s="79" t="s">
        <v>176</v>
      </c>
      <c r="C214" s="79" t="s">
        <v>177</v>
      </c>
      <c r="D214" s="78">
        <v>164</v>
      </c>
      <c r="E214" s="80">
        <v>693.24</v>
      </c>
      <c r="F214" s="80"/>
      <c r="G214" s="80">
        <v>693.24</v>
      </c>
      <c r="H214" s="81" t="s">
        <v>178</v>
      </c>
      <c r="I214" s="82">
        <v>634396</v>
      </c>
      <c r="J214" s="80"/>
      <c r="K214" s="80"/>
      <c r="L214" s="80" t="str">
        <f>IF(164*693.24=0," ",TEXT(,ROUND((164*693.24*5.58),2)))</f>
        <v>634397.79</v>
      </c>
      <c r="M214" s="80"/>
      <c r="N214" s="80"/>
    </row>
    <row r="215" spans="1:14" ht="156">
      <c r="A215" s="78">
        <v>121</v>
      </c>
      <c r="B215" s="79" t="s">
        <v>7</v>
      </c>
      <c r="C215" s="79" t="s">
        <v>14</v>
      </c>
      <c r="D215" s="78">
        <v>1.39</v>
      </c>
      <c r="E215" s="80" t="s">
        <v>15</v>
      </c>
      <c r="F215" s="80" t="s">
        <v>16</v>
      </c>
      <c r="G215" s="80">
        <v>3956.79</v>
      </c>
      <c r="H215" s="81" t="s">
        <v>3</v>
      </c>
      <c r="I215" s="82">
        <v>50900</v>
      </c>
      <c r="J215" s="80">
        <v>11022</v>
      </c>
      <c r="K215" s="80" t="s">
        <v>17</v>
      </c>
      <c r="L215" s="80" t="str">
        <f>IF(1.39*3956.79=0," ",TEXT(,ROUND((1.39*3956.79*6.8),2)))</f>
        <v>37399.58</v>
      </c>
      <c r="M215" s="80" t="s">
        <v>18</v>
      </c>
      <c r="N215" s="80" t="s">
        <v>19</v>
      </c>
    </row>
    <row r="216" spans="1:14" ht="48">
      <c r="A216" s="78">
        <v>122</v>
      </c>
      <c r="B216" s="79" t="s">
        <v>176</v>
      </c>
      <c r="C216" s="79" t="s">
        <v>177</v>
      </c>
      <c r="D216" s="78">
        <v>13.9</v>
      </c>
      <c r="E216" s="80">
        <v>693.24</v>
      </c>
      <c r="F216" s="80"/>
      <c r="G216" s="80">
        <v>693.24</v>
      </c>
      <c r="H216" s="81" t="s">
        <v>178</v>
      </c>
      <c r="I216" s="82">
        <v>53769</v>
      </c>
      <c r="J216" s="80"/>
      <c r="K216" s="80"/>
      <c r="L216" s="80" t="str">
        <f>IF(13.9*693.24=0," ",TEXT(,ROUND((13.9*693.24*5.58),2)))</f>
        <v>53769.08</v>
      </c>
      <c r="M216" s="80"/>
      <c r="N216" s="80"/>
    </row>
    <row r="217" spans="1:14" ht="108">
      <c r="A217" s="78">
        <v>123</v>
      </c>
      <c r="B217" s="79" t="s">
        <v>20</v>
      </c>
      <c r="C217" s="79" t="s">
        <v>21</v>
      </c>
      <c r="D217" s="78">
        <v>4.23</v>
      </c>
      <c r="E217" s="80" t="s">
        <v>22</v>
      </c>
      <c r="F217" s="80">
        <v>8.71</v>
      </c>
      <c r="G217" s="80">
        <v>10.4</v>
      </c>
      <c r="H217" s="81" t="s">
        <v>23</v>
      </c>
      <c r="I217" s="82">
        <v>11276</v>
      </c>
      <c r="J217" s="80">
        <v>10610</v>
      </c>
      <c r="K217" s="80">
        <v>423</v>
      </c>
      <c r="L217" s="80" t="str">
        <f>IF(4.23*10.4=0," ",TEXT(,ROUND((4.23*10.4*5.66),2)))</f>
        <v>248.99</v>
      </c>
      <c r="M217" s="80">
        <v>15.3625</v>
      </c>
      <c r="N217" s="80">
        <v>64.98</v>
      </c>
    </row>
    <row r="218" spans="1:14" ht="144">
      <c r="A218" s="78">
        <v>124</v>
      </c>
      <c r="B218" s="79" t="s">
        <v>24</v>
      </c>
      <c r="C218" s="79" t="s">
        <v>25</v>
      </c>
      <c r="D218" s="78">
        <v>1.84</v>
      </c>
      <c r="E218" s="80" t="s">
        <v>26</v>
      </c>
      <c r="F218" s="80" t="s">
        <v>27</v>
      </c>
      <c r="G218" s="80">
        <v>1007.15</v>
      </c>
      <c r="H218" s="81" t="s">
        <v>28</v>
      </c>
      <c r="I218" s="82">
        <v>11669</v>
      </c>
      <c r="J218" s="80">
        <v>1382</v>
      </c>
      <c r="K218" s="80" t="s">
        <v>29</v>
      </c>
      <c r="L218" s="80" t="str">
        <f>IF(1.84*1007.15=0," ",TEXT(,ROUND((1.84*1007.15*5.34),2)))</f>
        <v>9895.85</v>
      </c>
      <c r="M218" s="80" t="s">
        <v>30</v>
      </c>
      <c r="N218" s="80" t="s">
        <v>31</v>
      </c>
    </row>
    <row r="219" spans="1:14" ht="168">
      <c r="A219" s="78">
        <v>125</v>
      </c>
      <c r="B219" s="79" t="s">
        <v>32</v>
      </c>
      <c r="C219" s="79" t="s">
        <v>33</v>
      </c>
      <c r="D219" s="78">
        <v>0.03</v>
      </c>
      <c r="E219" s="80" t="s">
        <v>34</v>
      </c>
      <c r="F219" s="80" t="s">
        <v>35</v>
      </c>
      <c r="G219" s="80">
        <v>81.97</v>
      </c>
      <c r="H219" s="81" t="s">
        <v>36</v>
      </c>
      <c r="I219" s="82">
        <v>374</v>
      </c>
      <c r="J219" s="80">
        <v>313</v>
      </c>
      <c r="K219" s="80">
        <v>50</v>
      </c>
      <c r="L219" s="80" t="str">
        <f>IF(0.03*81.97=0," ",TEXT(,ROUND((0.03*81.97*5.35),2)))</f>
        <v>13.16</v>
      </c>
      <c r="M219" s="80" t="s">
        <v>37</v>
      </c>
      <c r="N219" s="80" t="s">
        <v>38</v>
      </c>
    </row>
    <row r="220" spans="1:14" ht="24">
      <c r="A220" s="78">
        <v>126</v>
      </c>
      <c r="B220" s="79" t="s">
        <v>39</v>
      </c>
      <c r="C220" s="79" t="s">
        <v>40</v>
      </c>
      <c r="D220" s="78">
        <v>3</v>
      </c>
      <c r="E220" s="80">
        <v>379.69</v>
      </c>
      <c r="F220" s="80"/>
      <c r="G220" s="80">
        <v>379.69</v>
      </c>
      <c r="H220" s="81" t="s">
        <v>178</v>
      </c>
      <c r="I220" s="82">
        <v>6356</v>
      </c>
      <c r="J220" s="80"/>
      <c r="K220" s="80"/>
      <c r="L220" s="80" t="str">
        <f>IF(3*379.69=0," ",TEXT(,ROUND((3*379.69*5.58),2)))</f>
        <v>6356.01</v>
      </c>
      <c r="M220" s="80"/>
      <c r="N220" s="80"/>
    </row>
    <row r="221" spans="1:14" ht="168">
      <c r="A221" s="78">
        <v>127</v>
      </c>
      <c r="B221" s="79" t="s">
        <v>41</v>
      </c>
      <c r="C221" s="79" t="s">
        <v>42</v>
      </c>
      <c r="D221" s="78">
        <v>0.01</v>
      </c>
      <c r="E221" s="80" t="s">
        <v>43</v>
      </c>
      <c r="F221" s="80" t="s">
        <v>44</v>
      </c>
      <c r="G221" s="80">
        <v>50060.29</v>
      </c>
      <c r="H221" s="81" t="s">
        <v>45</v>
      </c>
      <c r="I221" s="82">
        <v>4522</v>
      </c>
      <c r="J221" s="80">
        <v>247</v>
      </c>
      <c r="K221" s="80" t="s">
        <v>46</v>
      </c>
      <c r="L221" s="80" t="str">
        <f>IF(0.01*50060.29=0," ",TEXT(,ROUND((0.01*50060.29*8.17),2)))</f>
        <v>4089.93</v>
      </c>
      <c r="M221" s="80" t="s">
        <v>47</v>
      </c>
      <c r="N221" s="80" t="s">
        <v>48</v>
      </c>
    </row>
    <row r="222" spans="1:14" ht="108">
      <c r="A222" s="78">
        <v>128</v>
      </c>
      <c r="B222" s="79" t="s">
        <v>49</v>
      </c>
      <c r="C222" s="79" t="s">
        <v>50</v>
      </c>
      <c r="D222" s="78">
        <v>-1</v>
      </c>
      <c r="E222" s="80">
        <v>484</v>
      </c>
      <c r="F222" s="80"/>
      <c r="G222" s="80">
        <v>484</v>
      </c>
      <c r="H222" s="81" t="s">
        <v>51</v>
      </c>
      <c r="I222" s="82">
        <v>-3999</v>
      </c>
      <c r="J222" s="80"/>
      <c r="K222" s="80"/>
      <c r="L222" s="80" t="str">
        <f>IF(-1*484=0," ",TEXT(,ROUND((-1*484*8.263),2)))</f>
        <v>-3999.29</v>
      </c>
      <c r="M222" s="80"/>
      <c r="N222" s="80"/>
    </row>
    <row r="223" spans="1:14" ht="120">
      <c r="A223" s="78">
        <v>129</v>
      </c>
      <c r="B223" s="79" t="s">
        <v>52</v>
      </c>
      <c r="C223" s="79" t="s">
        <v>53</v>
      </c>
      <c r="D223" s="78">
        <v>1</v>
      </c>
      <c r="E223" s="80">
        <v>546.92</v>
      </c>
      <c r="F223" s="80"/>
      <c r="G223" s="80">
        <v>546.92</v>
      </c>
      <c r="H223" s="81" t="s">
        <v>54</v>
      </c>
      <c r="I223" s="82">
        <v>3863</v>
      </c>
      <c r="J223" s="80"/>
      <c r="K223" s="80"/>
      <c r="L223" s="80" t="str">
        <f>IF(1*546.92=0," ",TEXT(,ROUND((1*546.92*7.063),2)))</f>
        <v>3862.9</v>
      </c>
      <c r="M223" s="80"/>
      <c r="N223" s="80"/>
    </row>
    <row r="224" spans="1:14" ht="96">
      <c r="A224" s="78">
        <v>130</v>
      </c>
      <c r="B224" s="79" t="s">
        <v>55</v>
      </c>
      <c r="C224" s="79" t="s">
        <v>56</v>
      </c>
      <c r="D224" s="78">
        <v>1.2</v>
      </c>
      <c r="E224" s="80" t="s">
        <v>57</v>
      </c>
      <c r="F224" s="80"/>
      <c r="G224" s="80">
        <v>8.02</v>
      </c>
      <c r="H224" s="81" t="s">
        <v>58</v>
      </c>
      <c r="I224" s="82">
        <v>12911</v>
      </c>
      <c r="J224" s="80">
        <v>12880</v>
      </c>
      <c r="K224" s="80"/>
      <c r="L224" s="80" t="str">
        <f>IF(1.2*8.02=0," ",TEXT(,ROUND((1.2*8.02*3.39),2)))</f>
        <v>32.63</v>
      </c>
      <c r="M224" s="80">
        <v>75.5</v>
      </c>
      <c r="N224" s="80">
        <v>90.6</v>
      </c>
    </row>
    <row r="225" spans="1:14" ht="108">
      <c r="A225" s="78">
        <v>131</v>
      </c>
      <c r="B225" s="79" t="s">
        <v>775</v>
      </c>
      <c r="C225" s="79" t="s">
        <v>59</v>
      </c>
      <c r="D225" s="78">
        <v>-1.2</v>
      </c>
      <c r="E225" s="80" t="s">
        <v>60</v>
      </c>
      <c r="F225" s="80"/>
      <c r="G225" s="80"/>
      <c r="H225" s="81" t="s">
        <v>774</v>
      </c>
      <c r="I225" s="82">
        <v>-2188</v>
      </c>
      <c r="J225" s="80">
        <v>-2188</v>
      </c>
      <c r="K225" s="80"/>
      <c r="L225" s="80" t="str">
        <f>IF(-1.2*0=0," ",TEXT(,ROUND((-1.2*0*1),2)))</f>
        <v> </v>
      </c>
      <c r="M225" s="80">
        <v>13.8</v>
      </c>
      <c r="N225" s="80">
        <v>-16.56</v>
      </c>
    </row>
    <row r="226" spans="1:14" ht="60">
      <c r="A226" s="78">
        <v>132</v>
      </c>
      <c r="B226" s="79" t="s">
        <v>61</v>
      </c>
      <c r="C226" s="79" t="s">
        <v>62</v>
      </c>
      <c r="D226" s="78">
        <v>22</v>
      </c>
      <c r="E226" s="80">
        <v>67.8</v>
      </c>
      <c r="F226" s="80"/>
      <c r="G226" s="80">
        <v>67.8</v>
      </c>
      <c r="H226" s="81" t="s">
        <v>63</v>
      </c>
      <c r="I226" s="82">
        <v>4473</v>
      </c>
      <c r="J226" s="80"/>
      <c r="K226" s="80"/>
      <c r="L226" s="80" t="str">
        <f>IF(22*67.8=0," ",TEXT(,ROUND((22*67.8*2.998),2)))</f>
        <v>4471.82</v>
      </c>
      <c r="M226" s="80"/>
      <c r="N226" s="80"/>
    </row>
    <row r="227" spans="1:14" ht="60">
      <c r="A227" s="78">
        <v>133</v>
      </c>
      <c r="B227" s="79" t="s">
        <v>64</v>
      </c>
      <c r="C227" s="79" t="s">
        <v>65</v>
      </c>
      <c r="D227" s="78">
        <v>120</v>
      </c>
      <c r="E227" s="80">
        <v>56.5</v>
      </c>
      <c r="F227" s="80"/>
      <c r="G227" s="80">
        <v>56.5</v>
      </c>
      <c r="H227" s="81" t="s">
        <v>66</v>
      </c>
      <c r="I227" s="82">
        <v>17987</v>
      </c>
      <c r="J227" s="80"/>
      <c r="K227" s="80"/>
      <c r="L227" s="80" t="str">
        <f>IF(120*56.5=0," ",TEXT(,ROUND((120*56.5*2.653),2)))</f>
        <v>17987.34</v>
      </c>
      <c r="M227" s="80"/>
      <c r="N227" s="80"/>
    </row>
    <row r="228" spans="1:14" ht="60">
      <c r="A228" s="78">
        <v>134</v>
      </c>
      <c r="B228" s="79" t="s">
        <v>67</v>
      </c>
      <c r="C228" s="79" t="s">
        <v>68</v>
      </c>
      <c r="D228" s="78">
        <v>44</v>
      </c>
      <c r="E228" s="80">
        <v>34.8</v>
      </c>
      <c r="F228" s="80"/>
      <c r="G228" s="80">
        <v>34.8</v>
      </c>
      <c r="H228" s="81" t="s">
        <v>69</v>
      </c>
      <c r="I228" s="82">
        <v>6144</v>
      </c>
      <c r="J228" s="80"/>
      <c r="K228" s="80"/>
      <c r="L228" s="80" t="str">
        <f>IF(44*34.8=0," ",TEXT(,ROUND((44*34.8*4.013),2)))</f>
        <v>6144.71</v>
      </c>
      <c r="M228" s="80"/>
      <c r="N228" s="80"/>
    </row>
    <row r="229" spans="1:14" ht="60">
      <c r="A229" s="78">
        <v>135</v>
      </c>
      <c r="B229" s="79" t="s">
        <v>70</v>
      </c>
      <c r="C229" s="79" t="s">
        <v>71</v>
      </c>
      <c r="D229" s="78">
        <v>22</v>
      </c>
      <c r="E229" s="80">
        <v>35.9</v>
      </c>
      <c r="F229" s="80"/>
      <c r="G229" s="80">
        <v>35.9</v>
      </c>
      <c r="H229" s="81" t="s">
        <v>72</v>
      </c>
      <c r="I229" s="82">
        <v>3081</v>
      </c>
      <c r="J229" s="80"/>
      <c r="K229" s="80"/>
      <c r="L229" s="80" t="str">
        <f>IF(22*35.9=0," ",TEXT(,ROUND((22*35.9*3.9),2)))</f>
        <v>3080.22</v>
      </c>
      <c r="M229" s="80"/>
      <c r="N229" s="80"/>
    </row>
    <row r="230" spans="1:14" ht="24">
      <c r="A230" s="107" t="s">
        <v>814</v>
      </c>
      <c r="B230" s="107"/>
      <c r="C230" s="107"/>
      <c r="D230" s="107"/>
      <c r="E230" s="107"/>
      <c r="F230" s="107"/>
      <c r="G230" s="107"/>
      <c r="H230" s="107"/>
      <c r="I230" s="82">
        <v>165951</v>
      </c>
      <c r="J230" s="80">
        <v>13120</v>
      </c>
      <c r="K230" s="80" t="s">
        <v>73</v>
      </c>
      <c r="L230" s="80">
        <v>148414</v>
      </c>
      <c r="M230" s="80"/>
      <c r="N230" s="80" t="s">
        <v>74</v>
      </c>
    </row>
    <row r="231" spans="1:14" ht="24">
      <c r="A231" s="107" t="s">
        <v>817</v>
      </c>
      <c r="B231" s="107"/>
      <c r="C231" s="107"/>
      <c r="D231" s="107"/>
      <c r="E231" s="107"/>
      <c r="F231" s="107"/>
      <c r="G231" s="107"/>
      <c r="H231" s="107"/>
      <c r="I231" s="82">
        <v>1060476</v>
      </c>
      <c r="J231" s="80">
        <v>215824</v>
      </c>
      <c r="K231" s="80" t="s">
        <v>75</v>
      </c>
      <c r="L231" s="80">
        <v>804448</v>
      </c>
      <c r="M231" s="80"/>
      <c r="N231" s="80" t="s">
        <v>74</v>
      </c>
    </row>
    <row r="232" spans="1:14" ht="12">
      <c r="A232" s="107" t="s">
        <v>819</v>
      </c>
      <c r="B232" s="107"/>
      <c r="C232" s="107"/>
      <c r="D232" s="107"/>
      <c r="E232" s="107"/>
      <c r="F232" s="107"/>
      <c r="G232" s="107"/>
      <c r="H232" s="107"/>
      <c r="I232" s="82">
        <v>195915</v>
      </c>
      <c r="J232" s="80"/>
      <c r="K232" s="80"/>
      <c r="L232" s="80"/>
      <c r="M232" s="80"/>
      <c r="N232" s="80"/>
    </row>
    <row r="233" spans="1:14" ht="12">
      <c r="A233" s="107" t="s">
        <v>820</v>
      </c>
      <c r="B233" s="107"/>
      <c r="C233" s="107"/>
      <c r="D233" s="107"/>
      <c r="E233" s="107"/>
      <c r="F233" s="107"/>
      <c r="G233" s="107"/>
      <c r="H233" s="107"/>
      <c r="I233" s="82">
        <v>99713</v>
      </c>
      <c r="J233" s="80"/>
      <c r="K233" s="80"/>
      <c r="L233" s="80"/>
      <c r="M233" s="80"/>
      <c r="N233" s="80"/>
    </row>
    <row r="234" spans="1:14" ht="12">
      <c r="A234" s="108" t="s">
        <v>76</v>
      </c>
      <c r="B234" s="108"/>
      <c r="C234" s="108"/>
      <c r="D234" s="108"/>
      <c r="E234" s="108"/>
      <c r="F234" s="108"/>
      <c r="G234" s="108"/>
      <c r="H234" s="108"/>
      <c r="I234" s="82"/>
      <c r="J234" s="80"/>
      <c r="K234" s="80"/>
      <c r="L234" s="80"/>
      <c r="M234" s="80"/>
      <c r="N234" s="80"/>
    </row>
    <row r="235" spans="1:14" ht="12">
      <c r="A235" s="107" t="s">
        <v>826</v>
      </c>
      <c r="B235" s="107"/>
      <c r="C235" s="107"/>
      <c r="D235" s="107"/>
      <c r="E235" s="107"/>
      <c r="F235" s="107"/>
      <c r="G235" s="107"/>
      <c r="H235" s="107"/>
      <c r="I235" s="82">
        <v>104844</v>
      </c>
      <c r="J235" s="80"/>
      <c r="K235" s="80"/>
      <c r="L235" s="80"/>
      <c r="M235" s="80"/>
      <c r="N235" s="80">
        <v>148.39</v>
      </c>
    </row>
    <row r="236" spans="1:14" ht="12">
      <c r="A236" s="107" t="s">
        <v>364</v>
      </c>
      <c r="B236" s="107"/>
      <c r="C236" s="107"/>
      <c r="D236" s="107"/>
      <c r="E236" s="107"/>
      <c r="F236" s="107"/>
      <c r="G236" s="107"/>
      <c r="H236" s="107"/>
      <c r="I236" s="82">
        <v>694658</v>
      </c>
      <c r="J236" s="80"/>
      <c r="K236" s="80"/>
      <c r="L236" s="80"/>
      <c r="M236" s="80"/>
      <c r="N236" s="80"/>
    </row>
    <row r="237" spans="1:14" ht="24">
      <c r="A237" s="107" t="s">
        <v>381</v>
      </c>
      <c r="B237" s="107"/>
      <c r="C237" s="107"/>
      <c r="D237" s="107"/>
      <c r="E237" s="107"/>
      <c r="F237" s="107"/>
      <c r="G237" s="107"/>
      <c r="H237" s="107"/>
      <c r="I237" s="82">
        <v>512400</v>
      </c>
      <c r="J237" s="80"/>
      <c r="K237" s="80"/>
      <c r="L237" s="80"/>
      <c r="M237" s="80"/>
      <c r="N237" s="80" t="s">
        <v>77</v>
      </c>
    </row>
    <row r="238" spans="1:14" ht="12">
      <c r="A238" s="107" t="s">
        <v>362</v>
      </c>
      <c r="B238" s="107"/>
      <c r="C238" s="107"/>
      <c r="D238" s="107"/>
      <c r="E238" s="107"/>
      <c r="F238" s="107"/>
      <c r="G238" s="107"/>
      <c r="H238" s="107"/>
      <c r="I238" s="82">
        <v>24963</v>
      </c>
      <c r="J238" s="80"/>
      <c r="K238" s="80"/>
      <c r="L238" s="80"/>
      <c r="M238" s="80"/>
      <c r="N238" s="80">
        <v>64.98</v>
      </c>
    </row>
    <row r="239" spans="1:14" ht="24">
      <c r="A239" s="107" t="s">
        <v>369</v>
      </c>
      <c r="B239" s="107"/>
      <c r="C239" s="107"/>
      <c r="D239" s="107"/>
      <c r="E239" s="107"/>
      <c r="F239" s="107"/>
      <c r="G239" s="107"/>
      <c r="H239" s="107"/>
      <c r="I239" s="82">
        <v>18467</v>
      </c>
      <c r="J239" s="80"/>
      <c r="K239" s="80"/>
      <c r="L239" s="80"/>
      <c r="M239" s="80"/>
      <c r="N239" s="80" t="s">
        <v>78</v>
      </c>
    </row>
    <row r="240" spans="1:14" ht="24">
      <c r="A240" s="107" t="s">
        <v>365</v>
      </c>
      <c r="B240" s="107"/>
      <c r="C240" s="107"/>
      <c r="D240" s="107"/>
      <c r="E240" s="107"/>
      <c r="F240" s="107"/>
      <c r="G240" s="107"/>
      <c r="H240" s="107"/>
      <c r="I240" s="82">
        <v>772</v>
      </c>
      <c r="J240" s="80"/>
      <c r="K240" s="80"/>
      <c r="L240" s="80"/>
      <c r="M240" s="80"/>
      <c r="N240" s="80" t="s">
        <v>38</v>
      </c>
    </row>
    <row r="241" spans="1:14" ht="24">
      <c r="A241" s="107" t="s">
        <v>830</v>
      </c>
      <c r="B241" s="107"/>
      <c r="C241" s="107"/>
      <c r="D241" s="107"/>
      <c r="E241" s="107"/>
      <c r="F241" s="107"/>
      <c r="G241" s="107"/>
      <c r="H241" s="107"/>
      <c r="I241" s="82">
        <v>1356104</v>
      </c>
      <c r="J241" s="80"/>
      <c r="K241" s="80"/>
      <c r="L241" s="80"/>
      <c r="M241" s="80"/>
      <c r="N241" s="80" t="s">
        <v>74</v>
      </c>
    </row>
    <row r="242" spans="1:14" ht="12">
      <c r="A242" s="107" t="s">
        <v>831</v>
      </c>
      <c r="B242" s="107"/>
      <c r="C242" s="107"/>
      <c r="D242" s="107"/>
      <c r="E242" s="107"/>
      <c r="F242" s="107"/>
      <c r="G242" s="107"/>
      <c r="H242" s="107"/>
      <c r="I242" s="82"/>
      <c r="J242" s="80"/>
      <c r="K242" s="80"/>
      <c r="L242" s="80"/>
      <c r="M242" s="80"/>
      <c r="N242" s="80"/>
    </row>
    <row r="243" spans="1:14" ht="12">
      <c r="A243" s="107" t="s">
        <v>832</v>
      </c>
      <c r="B243" s="107"/>
      <c r="C243" s="107"/>
      <c r="D243" s="107"/>
      <c r="E243" s="107"/>
      <c r="F243" s="107"/>
      <c r="G243" s="107"/>
      <c r="H243" s="107"/>
      <c r="I243" s="82">
        <v>804448</v>
      </c>
      <c r="J243" s="80"/>
      <c r="K243" s="80"/>
      <c r="L243" s="80"/>
      <c r="M243" s="80"/>
      <c r="N243" s="80"/>
    </row>
    <row r="244" spans="1:14" ht="12">
      <c r="A244" s="107" t="s">
        <v>833</v>
      </c>
      <c r="B244" s="107"/>
      <c r="C244" s="107"/>
      <c r="D244" s="107"/>
      <c r="E244" s="107"/>
      <c r="F244" s="107"/>
      <c r="G244" s="107"/>
      <c r="H244" s="107"/>
      <c r="I244" s="82">
        <v>40204</v>
      </c>
      <c r="J244" s="80"/>
      <c r="K244" s="80"/>
      <c r="L244" s="80"/>
      <c r="M244" s="80"/>
      <c r="N244" s="80"/>
    </row>
    <row r="245" spans="1:14" ht="12">
      <c r="A245" s="107" t="s">
        <v>834</v>
      </c>
      <c r="B245" s="107"/>
      <c r="C245" s="107"/>
      <c r="D245" s="107"/>
      <c r="E245" s="107"/>
      <c r="F245" s="107"/>
      <c r="G245" s="107"/>
      <c r="H245" s="107"/>
      <c r="I245" s="82">
        <v>219936</v>
      </c>
      <c r="J245" s="80"/>
      <c r="K245" s="80"/>
      <c r="L245" s="80"/>
      <c r="M245" s="80"/>
      <c r="N245" s="80"/>
    </row>
    <row r="246" spans="1:14" ht="12">
      <c r="A246" s="107" t="s">
        <v>835</v>
      </c>
      <c r="B246" s="107"/>
      <c r="C246" s="107"/>
      <c r="D246" s="107"/>
      <c r="E246" s="107"/>
      <c r="F246" s="107"/>
      <c r="G246" s="107"/>
      <c r="H246" s="107"/>
      <c r="I246" s="82">
        <v>195915</v>
      </c>
      <c r="J246" s="80"/>
      <c r="K246" s="80"/>
      <c r="L246" s="80"/>
      <c r="M246" s="80"/>
      <c r="N246" s="80"/>
    </row>
    <row r="247" spans="1:14" ht="12">
      <c r="A247" s="107" t="s">
        <v>836</v>
      </c>
      <c r="B247" s="107"/>
      <c r="C247" s="107"/>
      <c r="D247" s="107"/>
      <c r="E247" s="107"/>
      <c r="F247" s="107"/>
      <c r="G247" s="107"/>
      <c r="H247" s="107"/>
      <c r="I247" s="82">
        <v>99713</v>
      </c>
      <c r="J247" s="80"/>
      <c r="K247" s="80"/>
      <c r="L247" s="80"/>
      <c r="M247" s="80"/>
      <c r="N247" s="80"/>
    </row>
    <row r="248" spans="1:14" ht="24">
      <c r="A248" s="108" t="s">
        <v>79</v>
      </c>
      <c r="B248" s="108"/>
      <c r="C248" s="108"/>
      <c r="D248" s="108"/>
      <c r="E248" s="108"/>
      <c r="F248" s="108"/>
      <c r="G248" s="108"/>
      <c r="H248" s="108"/>
      <c r="I248" s="82">
        <v>1356104</v>
      </c>
      <c r="J248" s="80"/>
      <c r="K248" s="80"/>
      <c r="L248" s="80"/>
      <c r="M248" s="80"/>
      <c r="N248" s="80" t="s">
        <v>74</v>
      </c>
    </row>
    <row r="249" spans="1:14" ht="17.25" customHeight="1">
      <c r="A249" s="108" t="s">
        <v>80</v>
      </c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1:14" ht="192">
      <c r="A250" s="78">
        <v>136</v>
      </c>
      <c r="B250" s="79" t="s">
        <v>81</v>
      </c>
      <c r="C250" s="79" t="s">
        <v>82</v>
      </c>
      <c r="D250" s="78">
        <v>20.29</v>
      </c>
      <c r="E250" s="80">
        <v>76.88</v>
      </c>
      <c r="F250" s="80">
        <v>76.88</v>
      </c>
      <c r="G250" s="80"/>
      <c r="H250" s="81" t="s">
        <v>83</v>
      </c>
      <c r="I250" s="82">
        <v>17815</v>
      </c>
      <c r="J250" s="80"/>
      <c r="K250" s="80">
        <v>17815</v>
      </c>
      <c r="L250" s="80" t="str">
        <f>IF(20.29*0=0," ",TEXT(,ROUND((20.29*0*1),2)))</f>
        <v> </v>
      </c>
      <c r="M250" s="80"/>
      <c r="N250" s="80"/>
    </row>
    <row r="251" spans="1:14" ht="144">
      <c r="A251" s="78">
        <v>137</v>
      </c>
      <c r="B251" s="79" t="s">
        <v>84</v>
      </c>
      <c r="C251" s="79" t="s">
        <v>85</v>
      </c>
      <c r="D251" s="78">
        <v>26.67</v>
      </c>
      <c r="E251" s="80">
        <v>37.42</v>
      </c>
      <c r="F251" s="80">
        <v>37.42</v>
      </c>
      <c r="G251" s="80"/>
      <c r="H251" s="81" t="s">
        <v>86</v>
      </c>
      <c r="I251" s="82">
        <v>10559</v>
      </c>
      <c r="J251" s="80"/>
      <c r="K251" s="80">
        <v>10559</v>
      </c>
      <c r="L251" s="80" t="str">
        <f>IF(26.67*0=0," ",TEXT(,ROUND((26.67*0*1),2)))</f>
        <v> </v>
      </c>
      <c r="M251" s="80"/>
      <c r="N251" s="80"/>
    </row>
    <row r="252" spans="1:14" ht="192">
      <c r="A252" s="78">
        <v>138</v>
      </c>
      <c r="B252" s="79" t="s">
        <v>87</v>
      </c>
      <c r="C252" s="79" t="s">
        <v>88</v>
      </c>
      <c r="D252" s="78">
        <v>1.649</v>
      </c>
      <c r="E252" s="80">
        <v>90.45</v>
      </c>
      <c r="F252" s="80">
        <v>90.45</v>
      </c>
      <c r="G252" s="80"/>
      <c r="H252" s="81" t="s">
        <v>89</v>
      </c>
      <c r="I252" s="82">
        <v>1702</v>
      </c>
      <c r="J252" s="80"/>
      <c r="K252" s="80">
        <v>1702</v>
      </c>
      <c r="L252" s="80" t="str">
        <f>IF(1.649*0=0," ",TEXT(,ROUND((1.649*0*1),2)))</f>
        <v> </v>
      </c>
      <c r="M252" s="80"/>
      <c r="N252" s="80"/>
    </row>
    <row r="253" spans="1:14" ht="192">
      <c r="A253" s="78">
        <v>139</v>
      </c>
      <c r="B253" s="79" t="s">
        <v>90</v>
      </c>
      <c r="C253" s="79" t="s">
        <v>91</v>
      </c>
      <c r="D253" s="78">
        <v>27.765</v>
      </c>
      <c r="E253" s="80">
        <v>170.85</v>
      </c>
      <c r="F253" s="80">
        <v>170.85</v>
      </c>
      <c r="G253" s="80"/>
      <c r="H253" s="81" t="s">
        <v>92</v>
      </c>
      <c r="I253" s="82">
        <v>54176</v>
      </c>
      <c r="J253" s="80"/>
      <c r="K253" s="80">
        <v>54176</v>
      </c>
      <c r="L253" s="80" t="str">
        <f>IF(27.765*0=0," ",TEXT(,ROUND((27.765*0*1),2)))</f>
        <v> </v>
      </c>
      <c r="M253" s="80"/>
      <c r="N253" s="80"/>
    </row>
    <row r="254" spans="1:14" ht="12">
      <c r="A254" s="107" t="s">
        <v>814</v>
      </c>
      <c r="B254" s="107"/>
      <c r="C254" s="107"/>
      <c r="D254" s="107"/>
      <c r="E254" s="107"/>
      <c r="F254" s="107"/>
      <c r="G254" s="107"/>
      <c r="H254" s="107"/>
      <c r="I254" s="82">
        <v>7451</v>
      </c>
      <c r="J254" s="80"/>
      <c r="K254" s="80">
        <v>7451</v>
      </c>
      <c r="L254" s="80"/>
      <c r="M254" s="80"/>
      <c r="N254" s="80"/>
    </row>
    <row r="255" spans="1:14" ht="12">
      <c r="A255" s="107" t="s">
        <v>817</v>
      </c>
      <c r="B255" s="107"/>
      <c r="C255" s="107"/>
      <c r="D255" s="107"/>
      <c r="E255" s="107"/>
      <c r="F255" s="107"/>
      <c r="G255" s="107"/>
      <c r="H255" s="107"/>
      <c r="I255" s="82">
        <v>84252</v>
      </c>
      <c r="J255" s="80"/>
      <c r="K255" s="80">
        <v>84252</v>
      </c>
      <c r="L255" s="80"/>
      <c r="M255" s="80"/>
      <c r="N255" s="80"/>
    </row>
    <row r="256" spans="1:14" ht="12">
      <c r="A256" s="108" t="s">
        <v>93</v>
      </c>
      <c r="B256" s="108"/>
      <c r="C256" s="108"/>
      <c r="D256" s="108"/>
      <c r="E256" s="108"/>
      <c r="F256" s="108"/>
      <c r="G256" s="108"/>
      <c r="H256" s="108"/>
      <c r="I256" s="82"/>
      <c r="J256" s="80"/>
      <c r="K256" s="80"/>
      <c r="L256" s="80"/>
      <c r="M256" s="80"/>
      <c r="N256" s="80"/>
    </row>
    <row r="257" spans="1:14" ht="12">
      <c r="A257" s="107" t="s">
        <v>829</v>
      </c>
      <c r="B257" s="107"/>
      <c r="C257" s="107"/>
      <c r="D257" s="107"/>
      <c r="E257" s="107"/>
      <c r="F257" s="107"/>
      <c r="G257" s="107"/>
      <c r="H257" s="107"/>
      <c r="I257" s="82">
        <v>84252</v>
      </c>
      <c r="J257" s="80"/>
      <c r="K257" s="80"/>
      <c r="L257" s="80"/>
      <c r="M257" s="80"/>
      <c r="N257" s="80"/>
    </row>
    <row r="258" spans="1:14" ht="12">
      <c r="A258" s="107" t="s">
        <v>830</v>
      </c>
      <c r="B258" s="107"/>
      <c r="C258" s="107"/>
      <c r="D258" s="107"/>
      <c r="E258" s="107"/>
      <c r="F258" s="107"/>
      <c r="G258" s="107"/>
      <c r="H258" s="107"/>
      <c r="I258" s="82">
        <v>84252</v>
      </c>
      <c r="J258" s="80"/>
      <c r="K258" s="80"/>
      <c r="L258" s="80"/>
      <c r="M258" s="80"/>
      <c r="N258" s="80"/>
    </row>
    <row r="259" spans="1:14" ht="12">
      <c r="A259" s="107" t="s">
        <v>831</v>
      </c>
      <c r="B259" s="107"/>
      <c r="C259" s="107"/>
      <c r="D259" s="107"/>
      <c r="E259" s="107"/>
      <c r="F259" s="107"/>
      <c r="G259" s="107"/>
      <c r="H259" s="107"/>
      <c r="I259" s="82"/>
      <c r="J259" s="80"/>
      <c r="K259" s="80"/>
      <c r="L259" s="80"/>
      <c r="M259" s="80"/>
      <c r="N259" s="80"/>
    </row>
    <row r="260" spans="1:14" ht="12">
      <c r="A260" s="107" t="s">
        <v>833</v>
      </c>
      <c r="B260" s="107"/>
      <c r="C260" s="107"/>
      <c r="D260" s="107"/>
      <c r="E260" s="107"/>
      <c r="F260" s="107"/>
      <c r="G260" s="107"/>
      <c r="H260" s="107"/>
      <c r="I260" s="82">
        <v>84252</v>
      </c>
      <c r="J260" s="80"/>
      <c r="K260" s="80"/>
      <c r="L260" s="80"/>
      <c r="M260" s="80"/>
      <c r="N260" s="80"/>
    </row>
    <row r="261" spans="1:14" ht="12">
      <c r="A261" s="108" t="s">
        <v>94</v>
      </c>
      <c r="B261" s="108"/>
      <c r="C261" s="108"/>
      <c r="D261" s="108"/>
      <c r="E261" s="108"/>
      <c r="F261" s="108"/>
      <c r="G261" s="108"/>
      <c r="H261" s="108"/>
      <c r="I261" s="82">
        <v>84252</v>
      </c>
      <c r="J261" s="80"/>
      <c r="K261" s="80"/>
      <c r="L261" s="80"/>
      <c r="M261" s="80"/>
      <c r="N261" s="80"/>
    </row>
    <row r="262" spans="1:14" ht="36">
      <c r="A262" s="110" t="s">
        <v>95</v>
      </c>
      <c r="B262" s="107"/>
      <c r="C262" s="107"/>
      <c r="D262" s="107"/>
      <c r="E262" s="107"/>
      <c r="F262" s="107"/>
      <c r="G262" s="107"/>
      <c r="H262" s="107"/>
      <c r="I262" s="83">
        <v>633220</v>
      </c>
      <c r="J262" s="83">
        <v>59916</v>
      </c>
      <c r="K262" s="83" t="s">
        <v>96</v>
      </c>
      <c r="L262" s="83">
        <v>529640</v>
      </c>
      <c r="M262" s="83"/>
      <c r="N262" s="83" t="s">
        <v>97</v>
      </c>
    </row>
    <row r="263" spans="1:14" ht="36">
      <c r="A263" s="110" t="s">
        <v>98</v>
      </c>
      <c r="B263" s="107"/>
      <c r="C263" s="107"/>
      <c r="D263" s="107"/>
      <c r="E263" s="107"/>
      <c r="F263" s="107"/>
      <c r="G263" s="107"/>
      <c r="H263" s="107"/>
      <c r="I263" s="83">
        <v>4311106</v>
      </c>
      <c r="J263" s="83">
        <v>985623</v>
      </c>
      <c r="K263" s="83" t="s">
        <v>99</v>
      </c>
      <c r="L263" s="83">
        <v>2854150</v>
      </c>
      <c r="M263" s="83"/>
      <c r="N263" s="83" t="s">
        <v>97</v>
      </c>
    </row>
    <row r="264" spans="1:14" ht="12">
      <c r="A264" s="110" t="s">
        <v>819</v>
      </c>
      <c r="B264" s="107"/>
      <c r="C264" s="107"/>
      <c r="D264" s="107"/>
      <c r="E264" s="107"/>
      <c r="F264" s="107"/>
      <c r="G264" s="107"/>
      <c r="H264" s="107"/>
      <c r="I264" s="83">
        <v>871925</v>
      </c>
      <c r="J264" s="83"/>
      <c r="K264" s="83"/>
      <c r="L264" s="83"/>
      <c r="M264" s="83"/>
      <c r="N264" s="83"/>
    </row>
    <row r="265" spans="1:14" ht="12">
      <c r="A265" s="110" t="s">
        <v>820</v>
      </c>
      <c r="B265" s="107"/>
      <c r="C265" s="107"/>
      <c r="D265" s="107"/>
      <c r="E265" s="107"/>
      <c r="F265" s="107"/>
      <c r="G265" s="107"/>
      <c r="H265" s="107"/>
      <c r="I265" s="83">
        <v>477957</v>
      </c>
      <c r="J265" s="83"/>
      <c r="K265" s="83"/>
      <c r="L265" s="83"/>
      <c r="M265" s="83"/>
      <c r="N265" s="83"/>
    </row>
    <row r="266" spans="1:14" ht="12">
      <c r="A266" s="111" t="s">
        <v>100</v>
      </c>
      <c r="B266" s="108"/>
      <c r="C266" s="108"/>
      <c r="D266" s="108"/>
      <c r="E266" s="108"/>
      <c r="F266" s="108"/>
      <c r="G266" s="108"/>
      <c r="H266" s="108"/>
      <c r="I266" s="83"/>
      <c r="J266" s="83"/>
      <c r="K266" s="83"/>
      <c r="L266" s="83"/>
      <c r="M266" s="83"/>
      <c r="N266" s="83"/>
    </row>
    <row r="267" spans="1:14" ht="24" customHeight="1">
      <c r="A267" s="110" t="s">
        <v>822</v>
      </c>
      <c r="B267" s="107"/>
      <c r="C267" s="107"/>
      <c r="D267" s="107"/>
      <c r="E267" s="107"/>
      <c r="F267" s="107"/>
      <c r="G267" s="107"/>
      <c r="H267" s="107"/>
      <c r="I267" s="83">
        <v>89080</v>
      </c>
      <c r="J267" s="83"/>
      <c r="K267" s="83"/>
      <c r="L267" s="83"/>
      <c r="M267" s="83"/>
      <c r="N267" s="83" t="s">
        <v>101</v>
      </c>
    </row>
    <row r="268" spans="1:14" ht="24" customHeight="1">
      <c r="A268" s="110" t="s">
        <v>824</v>
      </c>
      <c r="B268" s="107"/>
      <c r="C268" s="107"/>
      <c r="D268" s="107"/>
      <c r="E268" s="107"/>
      <c r="F268" s="107"/>
      <c r="G268" s="107"/>
      <c r="H268" s="107"/>
      <c r="I268" s="83">
        <v>180697</v>
      </c>
      <c r="J268" s="83"/>
      <c r="K268" s="83"/>
      <c r="L268" s="83"/>
      <c r="M268" s="83"/>
      <c r="N268" s="83" t="s">
        <v>102</v>
      </c>
    </row>
    <row r="269" spans="1:14" ht="24">
      <c r="A269" s="110" t="s">
        <v>826</v>
      </c>
      <c r="B269" s="107"/>
      <c r="C269" s="107"/>
      <c r="D269" s="107"/>
      <c r="E269" s="107"/>
      <c r="F269" s="107"/>
      <c r="G269" s="107"/>
      <c r="H269" s="107"/>
      <c r="I269" s="83">
        <v>342687</v>
      </c>
      <c r="J269" s="83"/>
      <c r="K269" s="83"/>
      <c r="L269" s="83"/>
      <c r="M269" s="83"/>
      <c r="N269" s="83" t="s">
        <v>103</v>
      </c>
    </row>
    <row r="270" spans="1:14" ht="12">
      <c r="A270" s="110" t="s">
        <v>827</v>
      </c>
      <c r="B270" s="107"/>
      <c r="C270" s="107"/>
      <c r="D270" s="107"/>
      <c r="E270" s="107"/>
      <c r="F270" s="107"/>
      <c r="G270" s="107"/>
      <c r="H270" s="107"/>
      <c r="I270" s="83">
        <v>141640</v>
      </c>
      <c r="J270" s="83"/>
      <c r="K270" s="83"/>
      <c r="L270" s="83"/>
      <c r="M270" s="83"/>
      <c r="N270" s="83">
        <v>500.1</v>
      </c>
    </row>
    <row r="271" spans="1:14" ht="12">
      <c r="A271" s="110" t="s">
        <v>828</v>
      </c>
      <c r="B271" s="107"/>
      <c r="C271" s="107"/>
      <c r="D271" s="107"/>
      <c r="E271" s="107"/>
      <c r="F271" s="107"/>
      <c r="G271" s="107"/>
      <c r="H271" s="107"/>
      <c r="I271" s="83">
        <v>91477</v>
      </c>
      <c r="J271" s="83"/>
      <c r="K271" s="83"/>
      <c r="L271" s="83"/>
      <c r="M271" s="83"/>
      <c r="N271" s="83"/>
    </row>
    <row r="272" spans="1:14" ht="12">
      <c r="A272" s="110" t="s">
        <v>829</v>
      </c>
      <c r="B272" s="107"/>
      <c r="C272" s="107"/>
      <c r="D272" s="107"/>
      <c r="E272" s="107"/>
      <c r="F272" s="107"/>
      <c r="G272" s="107"/>
      <c r="H272" s="107"/>
      <c r="I272" s="83">
        <v>108445</v>
      </c>
      <c r="J272" s="83"/>
      <c r="K272" s="83"/>
      <c r="L272" s="83"/>
      <c r="M272" s="83"/>
      <c r="N272" s="83"/>
    </row>
    <row r="273" spans="1:14" ht="24">
      <c r="A273" s="110" t="s">
        <v>362</v>
      </c>
      <c r="B273" s="107"/>
      <c r="C273" s="107"/>
      <c r="D273" s="107"/>
      <c r="E273" s="107"/>
      <c r="F273" s="107"/>
      <c r="G273" s="107"/>
      <c r="H273" s="107"/>
      <c r="I273" s="83">
        <v>67352</v>
      </c>
      <c r="J273" s="83"/>
      <c r="K273" s="83"/>
      <c r="L273" s="83"/>
      <c r="M273" s="83"/>
      <c r="N273" s="83" t="s">
        <v>104</v>
      </c>
    </row>
    <row r="274" spans="1:14" ht="12">
      <c r="A274" s="110" t="s">
        <v>364</v>
      </c>
      <c r="B274" s="107"/>
      <c r="C274" s="107"/>
      <c r="D274" s="107"/>
      <c r="E274" s="107"/>
      <c r="F274" s="107"/>
      <c r="G274" s="107"/>
      <c r="H274" s="107"/>
      <c r="I274" s="83">
        <v>1571949</v>
      </c>
      <c r="J274" s="83"/>
      <c r="K274" s="83"/>
      <c r="L274" s="83"/>
      <c r="M274" s="83"/>
      <c r="N274" s="83"/>
    </row>
    <row r="275" spans="1:14" ht="24">
      <c r="A275" s="110" t="s">
        <v>365</v>
      </c>
      <c r="B275" s="107"/>
      <c r="C275" s="107"/>
      <c r="D275" s="107"/>
      <c r="E275" s="107"/>
      <c r="F275" s="107"/>
      <c r="G275" s="107"/>
      <c r="H275" s="107"/>
      <c r="I275" s="83">
        <v>176785</v>
      </c>
      <c r="J275" s="83"/>
      <c r="K275" s="83"/>
      <c r="L275" s="83"/>
      <c r="M275" s="83"/>
      <c r="N275" s="83" t="s">
        <v>105</v>
      </c>
    </row>
    <row r="276" spans="1:14" ht="24">
      <c r="A276" s="110" t="s">
        <v>367</v>
      </c>
      <c r="B276" s="107"/>
      <c r="C276" s="107"/>
      <c r="D276" s="107"/>
      <c r="E276" s="107"/>
      <c r="F276" s="107"/>
      <c r="G276" s="107"/>
      <c r="H276" s="107"/>
      <c r="I276" s="83">
        <v>9848</v>
      </c>
      <c r="J276" s="83"/>
      <c r="K276" s="83"/>
      <c r="L276" s="83"/>
      <c r="M276" s="83"/>
      <c r="N276" s="83" t="s">
        <v>368</v>
      </c>
    </row>
    <row r="277" spans="1:14" ht="24">
      <c r="A277" s="110" t="s">
        <v>369</v>
      </c>
      <c r="B277" s="107"/>
      <c r="C277" s="107"/>
      <c r="D277" s="107"/>
      <c r="E277" s="107"/>
      <c r="F277" s="107"/>
      <c r="G277" s="107"/>
      <c r="H277" s="107"/>
      <c r="I277" s="83">
        <v>1144244</v>
      </c>
      <c r="J277" s="83"/>
      <c r="K277" s="83"/>
      <c r="L277" s="83"/>
      <c r="M277" s="83"/>
      <c r="N277" s="83" t="s">
        <v>106</v>
      </c>
    </row>
    <row r="278" spans="1:14" ht="24">
      <c r="A278" s="110" t="s">
        <v>372</v>
      </c>
      <c r="B278" s="107"/>
      <c r="C278" s="107"/>
      <c r="D278" s="107"/>
      <c r="E278" s="107"/>
      <c r="F278" s="107"/>
      <c r="G278" s="107"/>
      <c r="H278" s="107"/>
      <c r="I278" s="83">
        <v>8960</v>
      </c>
      <c r="J278" s="83"/>
      <c r="K278" s="83"/>
      <c r="L278" s="83"/>
      <c r="M278" s="83"/>
      <c r="N278" s="83" t="s">
        <v>373</v>
      </c>
    </row>
    <row r="279" spans="1:14" ht="12">
      <c r="A279" s="110" t="s">
        <v>374</v>
      </c>
      <c r="B279" s="107"/>
      <c r="C279" s="107"/>
      <c r="D279" s="107"/>
      <c r="E279" s="107"/>
      <c r="F279" s="107"/>
      <c r="G279" s="107"/>
      <c r="H279" s="107"/>
      <c r="I279" s="83">
        <v>12355</v>
      </c>
      <c r="J279" s="83"/>
      <c r="K279" s="83"/>
      <c r="L279" s="83"/>
      <c r="M279" s="83"/>
      <c r="N279" s="83">
        <v>7.61</v>
      </c>
    </row>
    <row r="280" spans="1:14" ht="12">
      <c r="A280" s="110" t="s">
        <v>375</v>
      </c>
      <c r="B280" s="107"/>
      <c r="C280" s="107"/>
      <c r="D280" s="107"/>
      <c r="E280" s="107"/>
      <c r="F280" s="107"/>
      <c r="G280" s="107"/>
      <c r="H280" s="107"/>
      <c r="I280" s="83">
        <v>1150</v>
      </c>
      <c r="J280" s="83"/>
      <c r="K280" s="83"/>
      <c r="L280" s="83"/>
      <c r="M280" s="83"/>
      <c r="N280" s="83"/>
    </row>
    <row r="281" spans="1:14" ht="24">
      <c r="A281" s="110" t="s">
        <v>376</v>
      </c>
      <c r="B281" s="107"/>
      <c r="C281" s="107"/>
      <c r="D281" s="107"/>
      <c r="E281" s="107"/>
      <c r="F281" s="107"/>
      <c r="G281" s="107"/>
      <c r="H281" s="107"/>
      <c r="I281" s="83">
        <v>88149</v>
      </c>
      <c r="J281" s="83"/>
      <c r="K281" s="83"/>
      <c r="L281" s="83"/>
      <c r="M281" s="83"/>
      <c r="N281" s="83" t="s">
        <v>167</v>
      </c>
    </row>
    <row r="282" spans="1:14" ht="24">
      <c r="A282" s="110" t="s">
        <v>377</v>
      </c>
      <c r="B282" s="107"/>
      <c r="C282" s="107"/>
      <c r="D282" s="107"/>
      <c r="E282" s="107"/>
      <c r="F282" s="107"/>
      <c r="G282" s="107"/>
      <c r="H282" s="107"/>
      <c r="I282" s="83">
        <v>404607</v>
      </c>
      <c r="J282" s="83"/>
      <c r="K282" s="83"/>
      <c r="L282" s="83"/>
      <c r="M282" s="83"/>
      <c r="N282" s="83" t="s">
        <v>107</v>
      </c>
    </row>
    <row r="283" spans="1:14" ht="24">
      <c r="A283" s="110" t="s">
        <v>379</v>
      </c>
      <c r="B283" s="107"/>
      <c r="C283" s="107"/>
      <c r="D283" s="107"/>
      <c r="E283" s="107"/>
      <c r="F283" s="107"/>
      <c r="G283" s="107"/>
      <c r="H283" s="107"/>
      <c r="I283" s="83">
        <v>40399</v>
      </c>
      <c r="J283" s="83"/>
      <c r="K283" s="83"/>
      <c r="L283" s="83"/>
      <c r="M283" s="83"/>
      <c r="N283" s="83" t="s">
        <v>186</v>
      </c>
    </row>
    <row r="284" spans="1:14" ht="24" customHeight="1">
      <c r="A284" s="110" t="s">
        <v>380</v>
      </c>
      <c r="B284" s="107"/>
      <c r="C284" s="107"/>
      <c r="D284" s="107"/>
      <c r="E284" s="107"/>
      <c r="F284" s="107"/>
      <c r="G284" s="107"/>
      <c r="H284" s="107"/>
      <c r="I284" s="83">
        <v>16013</v>
      </c>
      <c r="J284" s="83"/>
      <c r="K284" s="83"/>
      <c r="L284" s="83"/>
      <c r="M284" s="83"/>
      <c r="N284" s="83" t="s">
        <v>215</v>
      </c>
    </row>
    <row r="285" spans="1:14" ht="24">
      <c r="A285" s="110" t="s">
        <v>381</v>
      </c>
      <c r="B285" s="107"/>
      <c r="C285" s="107"/>
      <c r="D285" s="107"/>
      <c r="E285" s="107"/>
      <c r="F285" s="107"/>
      <c r="G285" s="107"/>
      <c r="H285" s="107"/>
      <c r="I285" s="83">
        <v>1165151</v>
      </c>
      <c r="J285" s="83"/>
      <c r="K285" s="83"/>
      <c r="L285" s="83"/>
      <c r="M285" s="83"/>
      <c r="N285" s="83" t="s">
        <v>108</v>
      </c>
    </row>
    <row r="286" spans="1:14" ht="36">
      <c r="A286" s="110" t="s">
        <v>830</v>
      </c>
      <c r="B286" s="107"/>
      <c r="C286" s="107"/>
      <c r="D286" s="107"/>
      <c r="E286" s="107"/>
      <c r="F286" s="107"/>
      <c r="G286" s="107"/>
      <c r="H286" s="107"/>
      <c r="I286" s="83">
        <v>5660988</v>
      </c>
      <c r="J286" s="83"/>
      <c r="K286" s="83"/>
      <c r="L286" s="83"/>
      <c r="M286" s="83"/>
      <c r="N286" s="83" t="s">
        <v>97</v>
      </c>
    </row>
    <row r="287" spans="1:14" ht="12">
      <c r="A287" s="110" t="s">
        <v>831</v>
      </c>
      <c r="B287" s="107"/>
      <c r="C287" s="107"/>
      <c r="D287" s="107"/>
      <c r="E287" s="107"/>
      <c r="F287" s="107"/>
      <c r="G287" s="107"/>
      <c r="H287" s="107"/>
      <c r="I287" s="83"/>
      <c r="J287" s="83"/>
      <c r="K287" s="83"/>
      <c r="L287" s="83"/>
      <c r="M287" s="83"/>
      <c r="N287" s="83"/>
    </row>
    <row r="288" spans="1:14" ht="12">
      <c r="A288" s="110" t="s">
        <v>832</v>
      </c>
      <c r="B288" s="107"/>
      <c r="C288" s="107"/>
      <c r="D288" s="107"/>
      <c r="E288" s="107"/>
      <c r="F288" s="107"/>
      <c r="G288" s="107"/>
      <c r="H288" s="107"/>
      <c r="I288" s="83">
        <v>2854150</v>
      </c>
      <c r="J288" s="83"/>
      <c r="K288" s="83"/>
      <c r="L288" s="83"/>
      <c r="M288" s="83"/>
      <c r="N288" s="83"/>
    </row>
    <row r="289" spans="1:14" ht="12">
      <c r="A289" s="110" t="s">
        <v>833</v>
      </c>
      <c r="B289" s="107"/>
      <c r="C289" s="107"/>
      <c r="D289" s="107"/>
      <c r="E289" s="107"/>
      <c r="F289" s="107"/>
      <c r="G289" s="107"/>
      <c r="H289" s="107"/>
      <c r="I289" s="83">
        <v>471333</v>
      </c>
      <c r="J289" s="83"/>
      <c r="K289" s="83"/>
      <c r="L289" s="83"/>
      <c r="M289" s="83"/>
      <c r="N289" s="83"/>
    </row>
    <row r="290" spans="1:14" ht="12">
      <c r="A290" s="110" t="s">
        <v>834</v>
      </c>
      <c r="B290" s="107"/>
      <c r="C290" s="107"/>
      <c r="D290" s="107"/>
      <c r="E290" s="107"/>
      <c r="F290" s="107"/>
      <c r="G290" s="107"/>
      <c r="H290" s="107"/>
      <c r="I290" s="83">
        <v>1016023</v>
      </c>
      <c r="J290" s="83"/>
      <c r="K290" s="83"/>
      <c r="L290" s="83"/>
      <c r="M290" s="83"/>
      <c r="N290" s="83"/>
    </row>
    <row r="291" spans="1:14" ht="12">
      <c r="A291" s="110" t="s">
        <v>835</v>
      </c>
      <c r="B291" s="107"/>
      <c r="C291" s="107"/>
      <c r="D291" s="107"/>
      <c r="E291" s="107"/>
      <c r="F291" s="107"/>
      <c r="G291" s="107"/>
      <c r="H291" s="107"/>
      <c r="I291" s="83">
        <v>871925</v>
      </c>
      <c r="J291" s="83"/>
      <c r="K291" s="83"/>
      <c r="L291" s="83"/>
      <c r="M291" s="83"/>
      <c r="N291" s="83"/>
    </row>
    <row r="292" spans="1:14" ht="12">
      <c r="A292" s="110" t="s">
        <v>836</v>
      </c>
      <c r="B292" s="107"/>
      <c r="C292" s="107"/>
      <c r="D292" s="107"/>
      <c r="E292" s="107"/>
      <c r="F292" s="107"/>
      <c r="G292" s="107"/>
      <c r="H292" s="107"/>
      <c r="I292" s="83">
        <v>477957</v>
      </c>
      <c r="J292" s="83"/>
      <c r="K292" s="83"/>
      <c r="L292" s="83"/>
      <c r="M292" s="83"/>
      <c r="N292" s="83"/>
    </row>
    <row r="293" spans="1:14" ht="36">
      <c r="A293" s="111" t="s">
        <v>109</v>
      </c>
      <c r="B293" s="108"/>
      <c r="C293" s="108"/>
      <c r="D293" s="108"/>
      <c r="E293" s="108"/>
      <c r="F293" s="108"/>
      <c r="G293" s="108"/>
      <c r="H293" s="108"/>
      <c r="I293" s="83">
        <v>5660988</v>
      </c>
      <c r="J293" s="83"/>
      <c r="K293" s="83"/>
      <c r="L293" s="83"/>
      <c r="M293" s="83"/>
      <c r="N293" s="83" t="s">
        <v>97</v>
      </c>
    </row>
    <row r="294" spans="1:13" ht="12">
      <c r="A294" s="84"/>
      <c r="B294" s="85"/>
      <c r="C294" s="85"/>
      <c r="D294" s="84"/>
      <c r="E294" s="73"/>
      <c r="F294" s="73"/>
      <c r="G294" s="73"/>
      <c r="H294" s="73"/>
      <c r="I294" s="86"/>
      <c r="J294" s="73"/>
      <c r="K294" s="73"/>
      <c r="L294" s="73"/>
      <c r="M294" s="73"/>
    </row>
    <row r="295" spans="1:13" ht="12">
      <c r="A295" s="84"/>
      <c r="B295" s="85"/>
      <c r="C295" s="85"/>
      <c r="D295" s="84"/>
      <c r="E295" s="73"/>
      <c r="F295" s="73"/>
      <c r="G295" s="73"/>
      <c r="H295" s="73"/>
      <c r="I295" s="86"/>
      <c r="J295" s="73"/>
      <c r="K295" s="73"/>
      <c r="L295" s="73"/>
      <c r="M295" s="73"/>
    </row>
    <row r="296" spans="1:13" ht="12">
      <c r="A296" s="84"/>
      <c r="B296" s="85"/>
      <c r="C296" s="87" t="s">
        <v>955</v>
      </c>
      <c r="D296" s="84"/>
      <c r="E296" s="73"/>
      <c r="F296" s="87" t="s">
        <v>748</v>
      </c>
      <c r="G296" s="87"/>
      <c r="H296" s="87"/>
      <c r="I296" s="73"/>
      <c r="J296" s="73"/>
      <c r="K296" s="73"/>
      <c r="L296" s="73"/>
      <c r="M296" s="73"/>
    </row>
    <row r="382" ht="12"/>
    <row r="383" ht="12"/>
    <row r="384" ht="12"/>
    <row r="385" ht="12"/>
    <row r="387" ht="12"/>
    <row r="388" ht="12"/>
    <row r="389" ht="12"/>
  </sheetData>
  <sheetProtection/>
  <mergeCells count="153">
    <mergeCell ref="K11:N13"/>
    <mergeCell ref="A291:H291"/>
    <mergeCell ref="A292:H292"/>
    <mergeCell ref="A293:H293"/>
    <mergeCell ref="A287:H287"/>
    <mergeCell ref="A288:H288"/>
    <mergeCell ref="A289:H289"/>
    <mergeCell ref="A290:H290"/>
    <mergeCell ref="A283:H283"/>
    <mergeCell ref="A284:H284"/>
    <mergeCell ref="A285:H285"/>
    <mergeCell ref="A286:H286"/>
    <mergeCell ref="A279:H279"/>
    <mergeCell ref="A280:H280"/>
    <mergeCell ref="A281:H281"/>
    <mergeCell ref="A282:H282"/>
    <mergeCell ref="A275:H275"/>
    <mergeCell ref="A276:H276"/>
    <mergeCell ref="A277:H277"/>
    <mergeCell ref="A278:H278"/>
    <mergeCell ref="A271:H271"/>
    <mergeCell ref="A272:H272"/>
    <mergeCell ref="A273:H273"/>
    <mergeCell ref="A274:H274"/>
    <mergeCell ref="A267:H267"/>
    <mergeCell ref="A268:H268"/>
    <mergeCell ref="A269:H269"/>
    <mergeCell ref="A270:H270"/>
    <mergeCell ref="A263:H263"/>
    <mergeCell ref="A264:H264"/>
    <mergeCell ref="A265:H265"/>
    <mergeCell ref="A266:H266"/>
    <mergeCell ref="A259:H259"/>
    <mergeCell ref="A260:H260"/>
    <mergeCell ref="A261:H261"/>
    <mergeCell ref="A262:H262"/>
    <mergeCell ref="A255:H255"/>
    <mergeCell ref="A256:H256"/>
    <mergeCell ref="A257:H257"/>
    <mergeCell ref="A258:H258"/>
    <mergeCell ref="A247:H247"/>
    <mergeCell ref="A248:H248"/>
    <mergeCell ref="A249:N249"/>
    <mergeCell ref="A254:H254"/>
    <mergeCell ref="A243:H243"/>
    <mergeCell ref="A244:H244"/>
    <mergeCell ref="A245:H245"/>
    <mergeCell ref="A246:H246"/>
    <mergeCell ref="A239:H239"/>
    <mergeCell ref="A240:H240"/>
    <mergeCell ref="A241:H241"/>
    <mergeCell ref="A242:H242"/>
    <mergeCell ref="A235:H235"/>
    <mergeCell ref="A236:H236"/>
    <mergeCell ref="A237:H237"/>
    <mergeCell ref="A238:H238"/>
    <mergeCell ref="A231:H231"/>
    <mergeCell ref="A232:H232"/>
    <mergeCell ref="A233:H233"/>
    <mergeCell ref="A234:H234"/>
    <mergeCell ref="A205:H205"/>
    <mergeCell ref="A206:H206"/>
    <mergeCell ref="A207:N207"/>
    <mergeCell ref="A230:H230"/>
    <mergeCell ref="A201:H201"/>
    <mergeCell ref="A202:H202"/>
    <mergeCell ref="A203:H203"/>
    <mergeCell ref="A204:H204"/>
    <mergeCell ref="A197:H197"/>
    <mergeCell ref="A198:H198"/>
    <mergeCell ref="A199:H199"/>
    <mergeCell ref="A200:H200"/>
    <mergeCell ref="A193:H193"/>
    <mergeCell ref="A194:H194"/>
    <mergeCell ref="A195:H195"/>
    <mergeCell ref="A196:H196"/>
    <mergeCell ref="A179:N179"/>
    <mergeCell ref="A190:H190"/>
    <mergeCell ref="A191:H191"/>
    <mergeCell ref="A192:H192"/>
    <mergeCell ref="A175:H175"/>
    <mergeCell ref="A176:H176"/>
    <mergeCell ref="A177:H177"/>
    <mergeCell ref="A178:H178"/>
    <mergeCell ref="A171:H171"/>
    <mergeCell ref="A172:H172"/>
    <mergeCell ref="A173:H173"/>
    <mergeCell ref="A174:H174"/>
    <mergeCell ref="A167:H167"/>
    <mergeCell ref="A168:H168"/>
    <mergeCell ref="A169:H169"/>
    <mergeCell ref="A170:H170"/>
    <mergeCell ref="A163:H163"/>
    <mergeCell ref="A164:H164"/>
    <mergeCell ref="A165:H165"/>
    <mergeCell ref="A166:H166"/>
    <mergeCell ref="A159:H159"/>
    <mergeCell ref="A160:H160"/>
    <mergeCell ref="A161:H161"/>
    <mergeCell ref="A162:H162"/>
    <mergeCell ref="A155:H155"/>
    <mergeCell ref="A156:H156"/>
    <mergeCell ref="A157:H157"/>
    <mergeCell ref="A158:H158"/>
    <mergeCell ref="A151:H151"/>
    <mergeCell ref="A152:H152"/>
    <mergeCell ref="A153:H153"/>
    <mergeCell ref="A154:H154"/>
    <mergeCell ref="A94:N94"/>
    <mergeCell ref="A105:N105"/>
    <mergeCell ref="A118:N118"/>
    <mergeCell ref="A150:H150"/>
    <mergeCell ref="A53:N53"/>
    <mergeCell ref="A62:N62"/>
    <mergeCell ref="A77:N77"/>
    <mergeCell ref="A84:N8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20:N20"/>
    <mergeCell ref="A34:H34"/>
    <mergeCell ref="A35:H35"/>
    <mergeCell ref="A36:H36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665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603</v>
      </c>
      <c r="B4" s="17" t="s">
        <v>666</v>
      </c>
      <c r="C4" s="17" t="s">
        <v>603</v>
      </c>
      <c r="D4" s="18" t="s">
        <v>667</v>
      </c>
      <c r="E4" s="17" t="s">
        <v>603</v>
      </c>
      <c r="F4" s="19" t="s">
        <v>683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684</v>
      </c>
      <c r="C6" s="25">
        <v>1</v>
      </c>
      <c r="D6" s="27" t="s">
        <v>481</v>
      </c>
      <c r="E6" s="23">
        <v>1</v>
      </c>
      <c r="F6" s="24" t="s">
        <v>685</v>
      </c>
    </row>
    <row r="7" spans="1:6" ht="12.75">
      <c r="A7" s="25"/>
      <c r="B7" s="28"/>
      <c r="C7" s="25">
        <v>2</v>
      </c>
      <c r="D7" s="29" t="s">
        <v>604</v>
      </c>
      <c r="E7" s="23">
        <v>2</v>
      </c>
      <c r="F7" s="24" t="s">
        <v>686</v>
      </c>
    </row>
    <row r="8" spans="1:6" ht="12.75">
      <c r="A8" s="25">
        <v>1</v>
      </c>
      <c r="B8" s="30" t="s">
        <v>517</v>
      </c>
      <c r="C8" s="25">
        <v>3</v>
      </c>
      <c r="D8" s="29" t="s">
        <v>605</v>
      </c>
      <c r="E8" s="23">
        <v>3</v>
      </c>
      <c r="F8" s="24" t="s">
        <v>687</v>
      </c>
    </row>
    <row r="9" spans="1:6" ht="12.75">
      <c r="A9" s="31">
        <v>2</v>
      </c>
      <c r="B9" s="32" t="s">
        <v>518</v>
      </c>
      <c r="C9" s="25">
        <v>4</v>
      </c>
      <c r="D9" s="29" t="s">
        <v>606</v>
      </c>
      <c r="E9" s="23">
        <v>4</v>
      </c>
      <c r="F9" s="24" t="s">
        <v>688</v>
      </c>
    </row>
    <row r="10" spans="1:6" ht="12.75">
      <c r="A10" s="25">
        <v>3</v>
      </c>
      <c r="B10" s="30" t="s">
        <v>519</v>
      </c>
      <c r="C10" s="25">
        <v>5</v>
      </c>
      <c r="D10" s="29" t="s">
        <v>607</v>
      </c>
      <c r="E10" s="23">
        <v>5</v>
      </c>
      <c r="F10" s="24" t="s">
        <v>689</v>
      </c>
    </row>
    <row r="11" spans="1:6" ht="12.75">
      <c r="A11" s="31">
        <v>4</v>
      </c>
      <c r="B11" s="32" t="s">
        <v>520</v>
      </c>
      <c r="C11" s="25">
        <v>6</v>
      </c>
      <c r="D11" s="29" t="s">
        <v>608</v>
      </c>
      <c r="E11" s="23">
        <v>6</v>
      </c>
      <c r="F11" s="24" t="s">
        <v>690</v>
      </c>
    </row>
    <row r="12" spans="1:6" ht="12.75">
      <c r="A12" s="25">
        <v>5</v>
      </c>
      <c r="B12" s="32" t="s">
        <v>701</v>
      </c>
      <c r="D12" s="29"/>
      <c r="E12" s="23">
        <v>7</v>
      </c>
      <c r="F12" s="24" t="s">
        <v>691</v>
      </c>
    </row>
    <row r="13" spans="1:6" ht="12.75">
      <c r="A13" s="31">
        <v>6</v>
      </c>
      <c r="B13" s="32" t="s">
        <v>702</v>
      </c>
      <c r="C13" s="25">
        <v>7</v>
      </c>
      <c r="D13" s="27" t="s">
        <v>444</v>
      </c>
      <c r="E13" s="23">
        <v>8</v>
      </c>
      <c r="F13" s="24" t="s">
        <v>692</v>
      </c>
    </row>
    <row r="14" spans="1:6" ht="12.75">
      <c r="A14" s="25">
        <v>7</v>
      </c>
      <c r="B14" s="32" t="s">
        <v>703</v>
      </c>
      <c r="C14" s="25">
        <v>8</v>
      </c>
      <c r="D14" s="29" t="s">
        <v>609</v>
      </c>
      <c r="E14" s="23"/>
      <c r="F14" s="24"/>
    </row>
    <row r="15" spans="1:6" ht="12.75">
      <c r="A15" s="31">
        <v>8</v>
      </c>
      <c r="B15" s="32" t="s">
        <v>704</v>
      </c>
      <c r="C15" s="25">
        <v>9</v>
      </c>
      <c r="D15" s="29" t="s">
        <v>610</v>
      </c>
      <c r="E15" s="23"/>
      <c r="F15" s="24"/>
    </row>
    <row r="16" spans="1:6" ht="12.75">
      <c r="A16" s="25">
        <v>9</v>
      </c>
      <c r="B16" s="32" t="s">
        <v>705</v>
      </c>
      <c r="C16" s="25">
        <v>10</v>
      </c>
      <c r="D16" s="29" t="s">
        <v>611</v>
      </c>
      <c r="E16" s="23"/>
      <c r="F16" s="24"/>
    </row>
    <row r="17" spans="1:6" ht="12.75">
      <c r="A17" s="31">
        <v>10</v>
      </c>
      <c r="B17" s="32" t="s">
        <v>706</v>
      </c>
      <c r="C17" s="25">
        <v>11</v>
      </c>
      <c r="D17" s="29" t="s">
        <v>612</v>
      </c>
      <c r="E17" s="23"/>
      <c r="F17" s="24"/>
    </row>
    <row r="18" spans="1:6" ht="12.75">
      <c r="A18" s="25">
        <v>11</v>
      </c>
      <c r="B18" s="32" t="s">
        <v>707</v>
      </c>
      <c r="C18" s="25">
        <v>12</v>
      </c>
      <c r="D18" s="29" t="s">
        <v>613</v>
      </c>
      <c r="E18" s="23"/>
      <c r="F18" s="24"/>
    </row>
    <row r="19" spans="1:6" ht="12.75">
      <c r="A19" s="25">
        <v>12</v>
      </c>
      <c r="B19" s="32" t="s">
        <v>521</v>
      </c>
      <c r="D19" s="29"/>
      <c r="E19" s="23"/>
      <c r="F19" s="24"/>
    </row>
    <row r="20" spans="1:6" ht="12.75">
      <c r="A20" s="25">
        <v>13</v>
      </c>
      <c r="B20" s="30" t="s">
        <v>522</v>
      </c>
      <c r="C20" s="25">
        <v>13</v>
      </c>
      <c r="D20" s="27" t="s">
        <v>441</v>
      </c>
      <c r="E20" s="23"/>
      <c r="F20" s="24"/>
    </row>
    <row r="21" spans="1:6" ht="12.75">
      <c r="A21" s="25">
        <v>14</v>
      </c>
      <c r="B21" s="30" t="s">
        <v>523</v>
      </c>
      <c r="C21" s="25">
        <v>14</v>
      </c>
      <c r="D21" s="29" t="s">
        <v>614</v>
      </c>
      <c r="E21" s="23"/>
      <c r="F21" s="24"/>
    </row>
    <row r="22" spans="1:6" ht="12.75">
      <c r="A22" s="25">
        <v>15</v>
      </c>
      <c r="B22" s="30" t="s">
        <v>524</v>
      </c>
      <c r="C22" s="25">
        <v>15</v>
      </c>
      <c r="D22" s="29" t="s">
        <v>615</v>
      </c>
      <c r="E22" s="23"/>
      <c r="F22" s="24"/>
    </row>
    <row r="23" spans="1:6" ht="12.75">
      <c r="A23" s="25">
        <v>16</v>
      </c>
      <c r="B23" s="30" t="s">
        <v>693</v>
      </c>
      <c r="C23" s="25">
        <v>16</v>
      </c>
      <c r="D23" s="29" t="s">
        <v>616</v>
      </c>
      <c r="E23" s="23"/>
      <c r="F23" s="24"/>
    </row>
    <row r="24" spans="1:6" ht="12.75">
      <c r="A24" s="25">
        <v>17</v>
      </c>
      <c r="B24" s="30" t="s">
        <v>694</v>
      </c>
      <c r="C24" s="25">
        <v>17</v>
      </c>
      <c r="D24" s="29" t="s">
        <v>617</v>
      </c>
      <c r="E24" s="23"/>
      <c r="F24" s="24"/>
    </row>
    <row r="25" spans="1:6" ht="12.75">
      <c r="A25" s="25">
        <v>18</v>
      </c>
      <c r="B25" s="30" t="s">
        <v>695</v>
      </c>
      <c r="C25" s="25">
        <v>18</v>
      </c>
      <c r="D25" s="29" t="s">
        <v>618</v>
      </c>
      <c r="E25" s="23"/>
      <c r="F25" s="24"/>
    </row>
    <row r="26" spans="1:6" ht="12.75">
      <c r="A26" s="25">
        <v>19</v>
      </c>
      <c r="B26" s="32" t="s">
        <v>525</v>
      </c>
      <c r="D26" s="29"/>
      <c r="E26" s="23"/>
      <c r="F26" s="24"/>
    </row>
    <row r="27" spans="1:6" ht="12.75">
      <c r="A27" s="25">
        <v>20</v>
      </c>
      <c r="B27" s="30" t="s">
        <v>526</v>
      </c>
      <c r="C27" s="25">
        <v>19</v>
      </c>
      <c r="D27" s="27" t="s">
        <v>442</v>
      </c>
      <c r="E27" s="23"/>
      <c r="F27" s="24"/>
    </row>
    <row r="28" spans="1:6" ht="12.75">
      <c r="A28" s="25">
        <v>21</v>
      </c>
      <c r="B28" s="30" t="s">
        <v>527</v>
      </c>
      <c r="C28" s="25">
        <v>20</v>
      </c>
      <c r="D28" s="29" t="s">
        <v>619</v>
      </c>
      <c r="E28" s="23"/>
      <c r="F28" s="24"/>
    </row>
    <row r="29" spans="1:6" ht="12.75">
      <c r="A29" s="25">
        <v>22</v>
      </c>
      <c r="B29" s="30" t="s">
        <v>528</v>
      </c>
      <c r="C29" s="25">
        <v>21</v>
      </c>
      <c r="D29" s="29" t="s">
        <v>620</v>
      </c>
      <c r="E29" s="23"/>
      <c r="F29" s="24"/>
    </row>
    <row r="30" spans="1:6" ht="12.75">
      <c r="A30" s="25">
        <v>23</v>
      </c>
      <c r="B30" s="30" t="s">
        <v>529</v>
      </c>
      <c r="C30" s="25">
        <v>22</v>
      </c>
      <c r="D30" s="29" t="s">
        <v>621</v>
      </c>
      <c r="E30" s="23"/>
      <c r="F30" s="24"/>
    </row>
    <row r="31" spans="1:6" ht="12.75">
      <c r="A31" s="25">
        <v>24</v>
      </c>
      <c r="B31" s="32" t="s">
        <v>530</v>
      </c>
      <c r="C31" s="25">
        <v>23</v>
      </c>
      <c r="D31" s="29" t="s">
        <v>622</v>
      </c>
      <c r="E31" s="23"/>
      <c r="F31" s="24"/>
    </row>
    <row r="32" spans="1:6" ht="12.75">
      <c r="A32" s="25">
        <v>25</v>
      </c>
      <c r="B32" s="32" t="s">
        <v>531</v>
      </c>
      <c r="C32" s="25">
        <v>24</v>
      </c>
      <c r="D32" s="29" t="s">
        <v>623</v>
      </c>
      <c r="E32" s="23"/>
      <c r="F32" s="24"/>
    </row>
    <row r="33" spans="1:6" ht="12.75">
      <c r="A33" s="25">
        <v>26</v>
      </c>
      <c r="B33" s="32" t="s">
        <v>532</v>
      </c>
      <c r="D33" s="29"/>
      <c r="E33" s="23"/>
      <c r="F33" s="24"/>
    </row>
    <row r="34" spans="1:6" ht="12.75">
      <c r="A34" s="25">
        <v>27</v>
      </c>
      <c r="B34" s="32" t="s">
        <v>533</v>
      </c>
      <c r="C34" s="25">
        <v>25</v>
      </c>
      <c r="D34" s="27" t="s">
        <v>443</v>
      </c>
      <c r="E34" s="23"/>
      <c r="F34" s="24"/>
    </row>
    <row r="35" spans="1:6" ht="12.75">
      <c r="A35" s="25">
        <v>28</v>
      </c>
      <c r="B35" s="32" t="s">
        <v>534</v>
      </c>
      <c r="C35" s="25">
        <v>26</v>
      </c>
      <c r="D35" s="29" t="s">
        <v>624</v>
      </c>
      <c r="E35" s="23"/>
      <c r="F35" s="24"/>
    </row>
    <row r="36" spans="1:6" ht="12.75">
      <c r="A36" s="25">
        <v>29</v>
      </c>
      <c r="B36" s="32" t="s">
        <v>535</v>
      </c>
      <c r="C36" s="25">
        <v>27</v>
      </c>
      <c r="D36" s="29" t="s">
        <v>625</v>
      </c>
      <c r="E36" s="23"/>
      <c r="F36" s="24"/>
    </row>
    <row r="37" spans="1:6" ht="12.75">
      <c r="A37" s="25">
        <v>30</v>
      </c>
      <c r="B37" s="32" t="s">
        <v>536</v>
      </c>
      <c r="C37" s="25">
        <v>28</v>
      </c>
      <c r="D37" s="29" t="s">
        <v>626</v>
      </c>
      <c r="E37" s="23"/>
      <c r="F37" s="24"/>
    </row>
    <row r="38" spans="1:6" ht="12.75">
      <c r="A38" s="25">
        <v>31</v>
      </c>
      <c r="B38" s="30" t="s">
        <v>537</v>
      </c>
      <c r="C38" s="25">
        <v>29</v>
      </c>
      <c r="D38" s="29" t="s">
        <v>627</v>
      </c>
      <c r="E38" s="23"/>
      <c r="F38" s="24"/>
    </row>
    <row r="39" spans="1:6" ht="12.75">
      <c r="A39" s="25">
        <v>32</v>
      </c>
      <c r="B39" s="32" t="s">
        <v>668</v>
      </c>
      <c r="C39" s="25">
        <v>30</v>
      </c>
      <c r="D39" s="29" t="s">
        <v>628</v>
      </c>
      <c r="E39" s="23"/>
      <c r="F39" s="24"/>
    </row>
    <row r="40" spans="1:6" ht="12.75">
      <c r="A40" s="25">
        <v>33</v>
      </c>
      <c r="B40" s="30" t="s">
        <v>538</v>
      </c>
      <c r="D40" s="29"/>
      <c r="E40" s="23"/>
      <c r="F40" s="24"/>
    </row>
    <row r="41" spans="1:6" ht="12.75">
      <c r="A41" s="25">
        <v>34</v>
      </c>
      <c r="B41" s="30" t="s">
        <v>539</v>
      </c>
      <c r="C41" s="25">
        <v>31</v>
      </c>
      <c r="D41" s="27" t="s">
        <v>447</v>
      </c>
      <c r="E41" s="23"/>
      <c r="F41" s="24"/>
    </row>
    <row r="42" spans="1:6" ht="12.75">
      <c r="A42" s="25">
        <v>35</v>
      </c>
      <c r="B42" s="30" t="s">
        <v>540</v>
      </c>
      <c r="C42" s="25">
        <v>32</v>
      </c>
      <c r="D42" s="29" t="s">
        <v>629</v>
      </c>
      <c r="E42" s="23"/>
      <c r="F42" s="24"/>
    </row>
    <row r="43" spans="1:6" ht="12.75">
      <c r="A43" s="25">
        <v>36</v>
      </c>
      <c r="B43" s="30" t="s">
        <v>541</v>
      </c>
      <c r="C43" s="25">
        <v>33</v>
      </c>
      <c r="D43" s="29" t="s">
        <v>630</v>
      </c>
      <c r="E43" s="23"/>
      <c r="F43" s="24"/>
    </row>
    <row r="44" spans="1:6" ht="12.75">
      <c r="A44" s="25">
        <v>37</v>
      </c>
      <c r="B44" s="30" t="s">
        <v>542</v>
      </c>
      <c r="C44" s="25">
        <v>34</v>
      </c>
      <c r="D44" s="29" t="s">
        <v>631</v>
      </c>
      <c r="E44" s="23"/>
      <c r="F44" s="24"/>
    </row>
    <row r="45" spans="1:6" ht="12.75">
      <c r="A45" s="25">
        <v>38</v>
      </c>
      <c r="B45" s="30" t="s">
        <v>543</v>
      </c>
      <c r="C45" s="25">
        <v>35</v>
      </c>
      <c r="D45" s="29" t="s">
        <v>632</v>
      </c>
      <c r="E45" s="23"/>
      <c r="F45" s="24"/>
    </row>
    <row r="46" spans="1:6" ht="12.75">
      <c r="A46" s="25">
        <v>39</v>
      </c>
      <c r="B46" s="30" t="s">
        <v>544</v>
      </c>
      <c r="C46" s="25">
        <v>36</v>
      </c>
      <c r="D46" s="29" t="s">
        <v>633</v>
      </c>
      <c r="E46" s="23"/>
      <c r="F46" s="24"/>
    </row>
    <row r="47" spans="1:6" ht="12.75">
      <c r="A47" s="25">
        <v>40</v>
      </c>
      <c r="B47" s="30" t="s">
        <v>545</v>
      </c>
      <c r="C47" s="45"/>
      <c r="D47" s="29"/>
      <c r="E47" s="23"/>
      <c r="F47" s="24"/>
    </row>
    <row r="48" spans="1:6" ht="12.75">
      <c r="A48" s="25">
        <v>41</v>
      </c>
      <c r="B48" s="30" t="s">
        <v>546</v>
      </c>
      <c r="C48" s="25">
        <v>37</v>
      </c>
      <c r="D48" s="27" t="s">
        <v>446</v>
      </c>
      <c r="E48" s="23"/>
      <c r="F48" s="24"/>
    </row>
    <row r="49" spans="1:6" ht="12.75">
      <c r="A49" s="25">
        <v>42</v>
      </c>
      <c r="B49" s="32" t="s">
        <v>547</v>
      </c>
      <c r="C49" s="25">
        <v>38</v>
      </c>
      <c r="D49" s="29" t="s">
        <v>634</v>
      </c>
      <c r="E49" s="23"/>
      <c r="F49" s="24"/>
    </row>
    <row r="50" spans="1:6" ht="12.75">
      <c r="A50" s="25">
        <v>43</v>
      </c>
      <c r="B50" s="30" t="s">
        <v>548</v>
      </c>
      <c r="C50" s="25">
        <v>39</v>
      </c>
      <c r="D50" s="29" t="s">
        <v>635</v>
      </c>
      <c r="E50" s="23"/>
      <c r="F50" s="24"/>
    </row>
    <row r="51" spans="1:6" ht="12.75">
      <c r="A51" s="25">
        <v>44</v>
      </c>
      <c r="B51" s="30" t="s">
        <v>549</v>
      </c>
      <c r="C51" s="25">
        <v>40</v>
      </c>
      <c r="D51" s="29" t="s">
        <v>636</v>
      </c>
      <c r="E51" s="23"/>
      <c r="F51" s="24"/>
    </row>
    <row r="52" spans="1:6" ht="12.75">
      <c r="A52" s="25">
        <v>45</v>
      </c>
      <c r="B52" s="30" t="s">
        <v>550</v>
      </c>
      <c r="C52" s="25">
        <v>41</v>
      </c>
      <c r="D52" s="29" t="s">
        <v>637</v>
      </c>
      <c r="E52" s="23"/>
      <c r="F52" s="24"/>
    </row>
    <row r="53" spans="1:6" ht="12.75">
      <c r="A53" s="25">
        <v>46</v>
      </c>
      <c r="B53" s="30" t="s">
        <v>551</v>
      </c>
      <c r="C53" s="25">
        <v>42</v>
      </c>
      <c r="D53" s="29" t="s">
        <v>638</v>
      </c>
      <c r="E53" s="23"/>
      <c r="F53" s="24"/>
    </row>
    <row r="54" spans="1:6" ht="12.75">
      <c r="A54" s="25">
        <v>47</v>
      </c>
      <c r="B54" s="30" t="s">
        <v>708</v>
      </c>
      <c r="D54" s="29"/>
      <c r="E54" s="23"/>
      <c r="F54" s="24"/>
    </row>
    <row r="55" spans="1:6" ht="12.75">
      <c r="A55" s="25">
        <v>48</v>
      </c>
      <c r="B55" s="30" t="s">
        <v>709</v>
      </c>
      <c r="C55" s="25">
        <v>43</v>
      </c>
      <c r="D55" s="27" t="s">
        <v>445</v>
      </c>
      <c r="E55" s="23"/>
      <c r="F55" s="24"/>
    </row>
    <row r="56" spans="1:6" ht="12.75">
      <c r="A56" s="25">
        <v>49</v>
      </c>
      <c r="B56" s="30" t="s">
        <v>710</v>
      </c>
      <c r="C56" s="25">
        <v>44</v>
      </c>
      <c r="D56" s="29" t="s">
        <v>639</v>
      </c>
      <c r="E56" s="23"/>
      <c r="F56" s="24"/>
    </row>
    <row r="57" spans="1:6" ht="12.75">
      <c r="A57" s="25">
        <v>50</v>
      </c>
      <c r="B57" s="30" t="s">
        <v>711</v>
      </c>
      <c r="C57" s="25">
        <v>45</v>
      </c>
      <c r="D57" s="29" t="s">
        <v>640</v>
      </c>
      <c r="E57" s="23"/>
      <c r="F57" s="24"/>
    </row>
    <row r="58" spans="1:6" ht="12.75">
      <c r="A58" s="25">
        <v>51</v>
      </c>
      <c r="B58" s="30" t="s">
        <v>712</v>
      </c>
      <c r="C58" s="25">
        <v>46</v>
      </c>
      <c r="D58" s="29" t="s">
        <v>641</v>
      </c>
      <c r="E58" s="23"/>
      <c r="F58" s="24"/>
    </row>
    <row r="59" spans="1:6" ht="12.75">
      <c r="A59" s="25">
        <v>52</v>
      </c>
      <c r="B59" s="30" t="s">
        <v>713</v>
      </c>
      <c r="C59" s="25">
        <v>47</v>
      </c>
      <c r="D59" s="29" t="s">
        <v>642</v>
      </c>
      <c r="E59" s="23"/>
      <c r="F59" s="24"/>
    </row>
    <row r="60" spans="1:6" ht="12.75">
      <c r="A60" s="25">
        <v>53</v>
      </c>
      <c r="B60" s="30" t="s">
        <v>714</v>
      </c>
      <c r="C60" s="25">
        <v>48</v>
      </c>
      <c r="D60" s="29" t="s">
        <v>643</v>
      </c>
      <c r="E60" s="23"/>
      <c r="F60" s="24"/>
    </row>
    <row r="61" spans="1:6" ht="12.75">
      <c r="A61" s="25">
        <v>54</v>
      </c>
      <c r="B61" s="30" t="s">
        <v>715</v>
      </c>
      <c r="D61" s="29"/>
      <c r="E61" s="23"/>
      <c r="F61" s="24"/>
    </row>
    <row r="62" spans="1:6" ht="12.75">
      <c r="A62" s="25">
        <v>55</v>
      </c>
      <c r="B62" s="30" t="s">
        <v>716</v>
      </c>
      <c r="C62" s="25">
        <v>49</v>
      </c>
      <c r="D62" s="27" t="s">
        <v>644</v>
      </c>
      <c r="E62" s="23"/>
      <c r="F62" s="24"/>
    </row>
    <row r="63" spans="1:6" ht="12.75">
      <c r="A63" s="25">
        <v>56</v>
      </c>
      <c r="B63" s="30" t="s">
        <v>717</v>
      </c>
      <c r="C63" s="25">
        <v>50</v>
      </c>
      <c r="D63" s="33" t="s">
        <v>645</v>
      </c>
      <c r="E63" s="23"/>
      <c r="F63" s="24"/>
    </row>
    <row r="64" spans="1:6" ht="14.25" customHeight="1">
      <c r="A64" s="25">
        <v>57</v>
      </c>
      <c r="B64" s="30" t="s">
        <v>718</v>
      </c>
      <c r="C64" s="25">
        <v>51</v>
      </c>
      <c r="D64" s="33" t="s">
        <v>438</v>
      </c>
      <c r="E64" s="23"/>
      <c r="F64" s="24"/>
    </row>
    <row r="65" spans="1:6" ht="12.75">
      <c r="A65" s="25">
        <v>58</v>
      </c>
      <c r="B65" s="30" t="s">
        <v>719</v>
      </c>
      <c r="C65" s="25">
        <v>52</v>
      </c>
      <c r="D65" s="33" t="s">
        <v>439</v>
      </c>
      <c r="E65" s="23"/>
      <c r="F65" s="24"/>
    </row>
    <row r="66" spans="1:6" ht="12.75">
      <c r="A66" s="25">
        <v>59</v>
      </c>
      <c r="B66" s="30" t="s">
        <v>720</v>
      </c>
      <c r="C66" s="25">
        <v>53</v>
      </c>
      <c r="D66" s="33" t="s">
        <v>440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696</v>
      </c>
      <c r="C68" s="25">
        <v>54</v>
      </c>
      <c r="D68" s="27" t="s">
        <v>450</v>
      </c>
      <c r="E68" s="23"/>
      <c r="F68" s="24"/>
    </row>
    <row r="69" spans="1:6" ht="12.75">
      <c r="A69" s="31"/>
      <c r="B69" s="28"/>
      <c r="C69" s="25">
        <v>55</v>
      </c>
      <c r="D69" s="33" t="s">
        <v>451</v>
      </c>
      <c r="E69" s="23"/>
      <c r="F69" s="24"/>
    </row>
    <row r="70" spans="1:6" ht="12.75" customHeight="1">
      <c r="A70" s="25">
        <v>60</v>
      </c>
      <c r="B70" s="32" t="s">
        <v>552</v>
      </c>
      <c r="C70" s="25">
        <v>56</v>
      </c>
      <c r="D70" s="29" t="s">
        <v>490</v>
      </c>
      <c r="E70" s="23"/>
      <c r="F70" s="24"/>
    </row>
    <row r="71" spans="1:6" ht="13.5" customHeight="1">
      <c r="A71" s="31">
        <v>61</v>
      </c>
      <c r="B71" s="32" t="s">
        <v>553</v>
      </c>
      <c r="C71" s="25">
        <v>57</v>
      </c>
      <c r="D71" s="29" t="s">
        <v>491</v>
      </c>
      <c r="E71" s="23"/>
      <c r="F71" s="24"/>
    </row>
    <row r="72" spans="1:6" ht="12.75">
      <c r="A72" s="25">
        <v>62</v>
      </c>
      <c r="B72" s="32" t="s">
        <v>554</v>
      </c>
      <c r="D72" s="33"/>
      <c r="E72" s="23"/>
      <c r="F72" s="24"/>
    </row>
    <row r="73" spans="1:6" ht="12.75">
      <c r="A73" s="31">
        <v>63</v>
      </c>
      <c r="B73" s="32" t="s">
        <v>555</v>
      </c>
      <c r="C73" s="25">
        <v>58</v>
      </c>
      <c r="D73" s="27" t="s">
        <v>433</v>
      </c>
      <c r="E73" s="23"/>
      <c r="F73" s="24"/>
    </row>
    <row r="74" spans="1:6" ht="12.75">
      <c r="A74" s="25">
        <v>64</v>
      </c>
      <c r="B74" s="32" t="s">
        <v>556</v>
      </c>
      <c r="C74" s="25">
        <v>59</v>
      </c>
      <c r="D74" s="33" t="s">
        <v>434</v>
      </c>
      <c r="E74" s="23"/>
      <c r="F74" s="24"/>
    </row>
    <row r="75" spans="1:6" ht="12.75">
      <c r="A75" s="31">
        <v>65</v>
      </c>
      <c r="B75" s="32" t="s">
        <v>557</v>
      </c>
      <c r="C75" s="25">
        <v>60</v>
      </c>
      <c r="D75" s="33" t="s">
        <v>435</v>
      </c>
      <c r="E75" s="23"/>
      <c r="F75" s="24"/>
    </row>
    <row r="76" spans="1:6" ht="12.75">
      <c r="A76" s="25">
        <v>66</v>
      </c>
      <c r="B76" s="32" t="s">
        <v>558</v>
      </c>
      <c r="C76" s="25">
        <v>61</v>
      </c>
      <c r="D76" s="33" t="s">
        <v>436</v>
      </c>
      <c r="E76" s="23"/>
      <c r="F76" s="24"/>
    </row>
    <row r="77" spans="1:6" ht="12.75">
      <c r="A77" s="31">
        <v>67</v>
      </c>
      <c r="B77" s="32" t="s">
        <v>559</v>
      </c>
      <c r="C77" s="25">
        <v>62</v>
      </c>
      <c r="D77" s="33" t="s">
        <v>437</v>
      </c>
      <c r="E77" s="23"/>
      <c r="F77" s="24"/>
    </row>
    <row r="78" spans="1:6" ht="12.75">
      <c r="A78" s="25">
        <v>68</v>
      </c>
      <c r="B78" s="32" t="s">
        <v>560</v>
      </c>
      <c r="C78" s="25">
        <v>63</v>
      </c>
      <c r="D78" s="29" t="s">
        <v>474</v>
      </c>
      <c r="E78" s="23"/>
      <c r="F78" s="24"/>
    </row>
    <row r="79" spans="1:6" ht="12.75">
      <c r="A79" s="31">
        <v>69</v>
      </c>
      <c r="B79" s="32" t="s">
        <v>561</v>
      </c>
      <c r="C79" s="25">
        <v>64</v>
      </c>
      <c r="D79" s="33" t="s">
        <v>475</v>
      </c>
      <c r="E79" s="23"/>
      <c r="F79" s="24"/>
    </row>
    <row r="80" spans="1:6" ht="12.75">
      <c r="A80" s="25">
        <v>70</v>
      </c>
      <c r="B80" s="32" t="s">
        <v>562</v>
      </c>
      <c r="C80" s="25">
        <v>65</v>
      </c>
      <c r="D80" s="33" t="s">
        <v>480</v>
      </c>
      <c r="E80" s="23"/>
      <c r="F80" s="24"/>
    </row>
    <row r="81" spans="1:6" ht="12.75">
      <c r="A81" s="31">
        <v>71</v>
      </c>
      <c r="B81" s="32" t="s">
        <v>563</v>
      </c>
      <c r="C81" s="25">
        <v>66</v>
      </c>
      <c r="D81" s="33" t="s">
        <v>476</v>
      </c>
      <c r="E81" s="23"/>
      <c r="F81" s="24"/>
    </row>
    <row r="82" spans="1:6" ht="12" customHeight="1">
      <c r="A82" s="25">
        <v>72</v>
      </c>
      <c r="B82" s="32" t="s">
        <v>564</v>
      </c>
      <c r="C82" s="25">
        <v>67</v>
      </c>
      <c r="D82" s="33" t="s">
        <v>477</v>
      </c>
      <c r="E82" s="23"/>
      <c r="F82" s="24"/>
    </row>
    <row r="83" spans="1:6" ht="12.75" customHeight="1">
      <c r="A83" s="31">
        <v>73</v>
      </c>
      <c r="B83" s="32" t="s">
        <v>565</v>
      </c>
      <c r="C83" s="25">
        <v>68</v>
      </c>
      <c r="D83" s="33" t="s">
        <v>478</v>
      </c>
      <c r="E83" s="23"/>
      <c r="F83" s="24"/>
    </row>
    <row r="84" spans="1:6" ht="12.75">
      <c r="A84" s="25">
        <v>74</v>
      </c>
      <c r="B84" s="32" t="s">
        <v>566</v>
      </c>
      <c r="C84" s="25">
        <v>69</v>
      </c>
      <c r="D84" s="33" t="s">
        <v>479</v>
      </c>
      <c r="E84" s="23"/>
      <c r="F84" s="24"/>
    </row>
    <row r="85" spans="1:6" ht="12.75">
      <c r="A85" s="31">
        <v>75</v>
      </c>
      <c r="B85" s="32" t="s">
        <v>567</v>
      </c>
      <c r="C85" s="25">
        <v>70</v>
      </c>
      <c r="D85" s="29" t="s">
        <v>482</v>
      </c>
      <c r="E85" s="23"/>
      <c r="F85" s="24"/>
    </row>
    <row r="86" spans="1:6" ht="12.75">
      <c r="A86" s="25">
        <v>76</v>
      </c>
      <c r="B86" s="32" t="s">
        <v>568</v>
      </c>
      <c r="C86" s="25">
        <v>71</v>
      </c>
      <c r="D86" s="29" t="s">
        <v>483</v>
      </c>
      <c r="E86" s="23"/>
      <c r="F86" s="24"/>
    </row>
    <row r="87" spans="1:6" ht="12.75">
      <c r="A87" s="31">
        <v>77</v>
      </c>
      <c r="B87" s="32" t="s">
        <v>569</v>
      </c>
      <c r="C87" s="25">
        <v>72</v>
      </c>
      <c r="D87" s="29" t="s">
        <v>496</v>
      </c>
      <c r="E87" s="23"/>
      <c r="F87" s="24"/>
    </row>
    <row r="88" spans="1:6" ht="12.75">
      <c r="A88" s="25"/>
      <c r="B88" s="34"/>
      <c r="C88" s="25">
        <v>73</v>
      </c>
      <c r="D88" s="29" t="s">
        <v>495</v>
      </c>
      <c r="E88" s="23"/>
      <c r="F88" s="24"/>
    </row>
    <row r="89" spans="1:6" ht="12.75">
      <c r="A89" s="25"/>
      <c r="B89" s="26" t="s">
        <v>697</v>
      </c>
      <c r="C89" s="25">
        <v>74</v>
      </c>
      <c r="D89" s="29" t="s">
        <v>494</v>
      </c>
      <c r="E89" s="23"/>
      <c r="F89" s="24"/>
    </row>
    <row r="90" spans="1:6" ht="12.75">
      <c r="A90" s="25"/>
      <c r="B90" s="26"/>
      <c r="C90" s="25">
        <v>75</v>
      </c>
      <c r="D90" s="29" t="s">
        <v>493</v>
      </c>
      <c r="E90" s="23"/>
      <c r="F90" s="24"/>
    </row>
    <row r="91" spans="1:6" ht="12.75">
      <c r="A91" s="25">
        <v>78</v>
      </c>
      <c r="B91" s="32" t="s">
        <v>721</v>
      </c>
      <c r="C91" s="25">
        <v>76</v>
      </c>
      <c r="D91" s="29" t="s">
        <v>492</v>
      </c>
      <c r="E91" s="23"/>
      <c r="F91" s="24"/>
    </row>
    <row r="92" spans="1:6" ht="12.75">
      <c r="A92" s="25">
        <v>79</v>
      </c>
      <c r="B92" s="32" t="s">
        <v>722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723</v>
      </c>
      <c r="C93" s="25">
        <v>77</v>
      </c>
      <c r="D93" s="27" t="s">
        <v>646</v>
      </c>
      <c r="E93" s="23"/>
      <c r="F93" s="24"/>
    </row>
    <row r="94" spans="1:6" ht="12.75">
      <c r="A94" s="25">
        <v>81</v>
      </c>
      <c r="B94" s="32" t="s">
        <v>724</v>
      </c>
      <c r="C94" s="25">
        <v>78</v>
      </c>
      <c r="D94" s="33" t="s">
        <v>647</v>
      </c>
      <c r="E94" s="23"/>
      <c r="F94" s="24"/>
    </row>
    <row r="95" spans="1:6" ht="12.75">
      <c r="A95" s="25">
        <v>82</v>
      </c>
      <c r="B95" s="32" t="s">
        <v>570</v>
      </c>
      <c r="C95" s="25">
        <v>79</v>
      </c>
      <c r="D95" s="33" t="s">
        <v>648</v>
      </c>
      <c r="E95" s="23"/>
      <c r="F95" s="24"/>
    </row>
    <row r="96" spans="1:6" ht="25.5">
      <c r="A96" s="25">
        <v>83</v>
      </c>
      <c r="B96" s="32" t="s">
        <v>571</v>
      </c>
      <c r="C96" s="25">
        <v>80</v>
      </c>
      <c r="D96" s="33" t="s">
        <v>649</v>
      </c>
      <c r="E96" s="23"/>
      <c r="F96" s="24"/>
    </row>
    <row r="97" spans="1:6" ht="12.75">
      <c r="A97" s="25">
        <v>84</v>
      </c>
      <c r="B97" s="32" t="s">
        <v>572</v>
      </c>
      <c r="C97" s="25">
        <v>81</v>
      </c>
      <c r="D97" s="33" t="s">
        <v>650</v>
      </c>
      <c r="E97" s="23"/>
      <c r="F97" s="24"/>
    </row>
    <row r="98" spans="1:6" ht="12.75">
      <c r="A98" s="25">
        <v>85</v>
      </c>
      <c r="B98" s="32" t="s">
        <v>573</v>
      </c>
      <c r="D98" s="33"/>
      <c r="E98" s="23"/>
      <c r="F98" s="24"/>
    </row>
    <row r="99" spans="1:6" ht="12.75">
      <c r="A99" s="25">
        <v>86</v>
      </c>
      <c r="B99" s="32" t="s">
        <v>574</v>
      </c>
      <c r="C99" s="25">
        <v>82</v>
      </c>
      <c r="D99" s="27" t="s">
        <v>448</v>
      </c>
      <c r="E99" s="23"/>
      <c r="F99" s="24"/>
    </row>
    <row r="100" spans="1:6" ht="12.75">
      <c r="A100" s="25">
        <v>87</v>
      </c>
      <c r="B100" s="32" t="s">
        <v>575</v>
      </c>
      <c r="C100" s="25">
        <v>83</v>
      </c>
      <c r="D100" s="33" t="s">
        <v>651</v>
      </c>
      <c r="E100" s="23"/>
      <c r="F100" s="24"/>
    </row>
    <row r="101" spans="1:6" ht="12.75">
      <c r="A101" s="25">
        <v>88</v>
      </c>
      <c r="B101" s="32" t="s">
        <v>576</v>
      </c>
      <c r="C101" s="25">
        <v>84</v>
      </c>
      <c r="D101" s="33" t="s">
        <v>652</v>
      </c>
      <c r="E101" s="23"/>
      <c r="F101" s="24"/>
    </row>
    <row r="102" spans="1:6" ht="25.5">
      <c r="A102" s="25">
        <v>89</v>
      </c>
      <c r="B102" s="32" t="s">
        <v>577</v>
      </c>
      <c r="C102" s="25">
        <v>85</v>
      </c>
      <c r="D102" s="33" t="s">
        <v>653</v>
      </c>
      <c r="E102" s="23"/>
      <c r="F102" s="24"/>
    </row>
    <row r="103" spans="1:6" ht="12.75">
      <c r="A103" s="25">
        <v>90</v>
      </c>
      <c r="B103" s="32" t="s">
        <v>578</v>
      </c>
      <c r="C103" s="25">
        <v>86</v>
      </c>
      <c r="D103" s="33" t="s">
        <v>654</v>
      </c>
      <c r="E103" s="23"/>
      <c r="F103" s="24"/>
    </row>
    <row r="104" spans="1:6" ht="12.75">
      <c r="A104" s="25">
        <v>91</v>
      </c>
      <c r="B104" s="32" t="s">
        <v>579</v>
      </c>
      <c r="C104" s="25">
        <v>87</v>
      </c>
      <c r="D104" s="29" t="s">
        <v>655</v>
      </c>
      <c r="E104" s="23"/>
      <c r="F104" s="24"/>
    </row>
    <row r="105" spans="1:6" ht="12.75">
      <c r="A105" s="25">
        <v>92</v>
      </c>
      <c r="B105" s="32" t="s">
        <v>580</v>
      </c>
      <c r="C105" s="25">
        <v>88</v>
      </c>
      <c r="D105" s="33" t="s">
        <v>656</v>
      </c>
      <c r="E105" s="23"/>
      <c r="F105" s="24"/>
    </row>
    <row r="106" spans="1:6" ht="12.75">
      <c r="A106" s="25">
        <v>93</v>
      </c>
      <c r="B106" s="32" t="s">
        <v>581</v>
      </c>
      <c r="C106" s="25">
        <v>89</v>
      </c>
      <c r="D106" s="33" t="s">
        <v>480</v>
      </c>
      <c r="E106" s="23"/>
      <c r="F106" s="24"/>
    </row>
    <row r="107" spans="1:6" ht="12.75">
      <c r="A107" s="25">
        <v>94</v>
      </c>
      <c r="B107" s="32" t="s">
        <v>582</v>
      </c>
      <c r="C107" s="25">
        <v>90</v>
      </c>
      <c r="D107" s="33" t="s">
        <v>449</v>
      </c>
      <c r="E107" s="23"/>
      <c r="F107" s="24"/>
    </row>
    <row r="108" spans="1:6" ht="12.75">
      <c r="A108" s="25">
        <v>95</v>
      </c>
      <c r="B108" s="32" t="s">
        <v>583</v>
      </c>
      <c r="C108" s="25">
        <v>91</v>
      </c>
      <c r="D108" s="33" t="s">
        <v>452</v>
      </c>
      <c r="E108" s="23"/>
      <c r="F108" s="24"/>
    </row>
    <row r="109" spans="1:6" ht="12.75">
      <c r="A109" s="25">
        <v>96</v>
      </c>
      <c r="B109" s="32" t="s">
        <v>584</v>
      </c>
      <c r="C109" s="25">
        <v>92</v>
      </c>
      <c r="D109" s="33" t="s">
        <v>657</v>
      </c>
      <c r="E109" s="23"/>
      <c r="F109" s="24"/>
    </row>
    <row r="110" spans="1:6" ht="12.75">
      <c r="A110" s="25">
        <v>97</v>
      </c>
      <c r="B110" s="32" t="s">
        <v>585</v>
      </c>
      <c r="C110" s="25">
        <v>93</v>
      </c>
      <c r="D110" s="33" t="s">
        <v>658</v>
      </c>
      <c r="E110" s="23"/>
      <c r="F110" s="24"/>
    </row>
    <row r="111" spans="1:6" ht="12.75">
      <c r="A111" s="25">
        <v>98</v>
      </c>
      <c r="B111" s="32" t="s">
        <v>586</v>
      </c>
      <c r="C111" s="25">
        <v>94</v>
      </c>
      <c r="D111" s="29" t="s">
        <v>484</v>
      </c>
      <c r="E111" s="23"/>
      <c r="F111" s="24"/>
    </row>
    <row r="112" spans="1:6" ht="12.75">
      <c r="A112" s="25">
        <v>99</v>
      </c>
      <c r="B112" s="32" t="s">
        <v>587</v>
      </c>
      <c r="C112" s="25">
        <v>95</v>
      </c>
      <c r="D112" s="29" t="s">
        <v>485</v>
      </c>
      <c r="E112" s="23"/>
      <c r="F112" s="24"/>
    </row>
    <row r="113" spans="1:6" ht="12.75">
      <c r="A113" s="25">
        <v>100</v>
      </c>
      <c r="B113" s="32" t="s">
        <v>588</v>
      </c>
      <c r="C113" s="25">
        <v>96</v>
      </c>
      <c r="D113" s="29" t="s">
        <v>497</v>
      </c>
      <c r="E113" s="23"/>
      <c r="F113" s="24"/>
    </row>
    <row r="114" spans="1:6" ht="12.75">
      <c r="A114" s="25">
        <v>101</v>
      </c>
      <c r="B114" s="32" t="s">
        <v>589</v>
      </c>
      <c r="C114" s="25">
        <v>97</v>
      </c>
      <c r="D114" s="29" t="s">
        <v>498</v>
      </c>
      <c r="E114" s="23"/>
      <c r="F114" s="24"/>
    </row>
    <row r="115" spans="1:6" ht="12.75">
      <c r="A115" s="25">
        <v>102</v>
      </c>
      <c r="B115" s="32" t="s">
        <v>725</v>
      </c>
      <c r="C115" s="25">
        <v>98</v>
      </c>
      <c r="D115" s="29" t="s">
        <v>499</v>
      </c>
      <c r="E115" s="23"/>
      <c r="F115" s="24"/>
    </row>
    <row r="116" spans="1:6" ht="12.75">
      <c r="A116" s="25">
        <v>103</v>
      </c>
      <c r="B116" s="32" t="s">
        <v>726</v>
      </c>
      <c r="C116" s="25">
        <v>99</v>
      </c>
      <c r="D116" s="29" t="s">
        <v>500</v>
      </c>
      <c r="E116" s="23"/>
      <c r="F116" s="24"/>
    </row>
    <row r="117" spans="1:6" ht="12.75">
      <c r="A117" s="25">
        <v>104</v>
      </c>
      <c r="B117" s="32" t="s">
        <v>727</v>
      </c>
      <c r="C117" s="25">
        <v>100</v>
      </c>
      <c r="D117" s="29" t="s">
        <v>501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698</v>
      </c>
      <c r="C119" s="25">
        <v>101</v>
      </c>
      <c r="D119" s="27" t="s">
        <v>469</v>
      </c>
      <c r="E119" s="23"/>
      <c r="F119" s="24"/>
    </row>
    <row r="120" spans="1:6" ht="12.75">
      <c r="A120" s="25"/>
      <c r="B120" s="30"/>
      <c r="C120" s="25">
        <v>102</v>
      </c>
      <c r="D120" s="29" t="s">
        <v>453</v>
      </c>
      <c r="E120" s="23"/>
      <c r="F120" s="24"/>
    </row>
    <row r="121" spans="1:6" ht="12.75">
      <c r="A121" s="25">
        <v>105</v>
      </c>
      <c r="B121" s="37" t="s">
        <v>669</v>
      </c>
      <c r="C121" s="25">
        <v>103</v>
      </c>
      <c r="D121" s="33" t="s">
        <v>454</v>
      </c>
      <c r="E121" s="23"/>
      <c r="F121" s="24"/>
    </row>
    <row r="122" spans="1:6" ht="12.75">
      <c r="A122" s="25">
        <v>106</v>
      </c>
      <c r="B122" s="37" t="s">
        <v>670</v>
      </c>
      <c r="C122" s="25">
        <v>104</v>
      </c>
      <c r="D122" s="33" t="s">
        <v>455</v>
      </c>
      <c r="E122" s="23"/>
      <c r="F122" s="24"/>
    </row>
    <row r="123" spans="1:6" ht="12.75">
      <c r="A123" s="25">
        <v>107</v>
      </c>
      <c r="B123" s="37" t="s">
        <v>671</v>
      </c>
      <c r="C123" s="25">
        <v>105</v>
      </c>
      <c r="D123" s="29" t="s">
        <v>456</v>
      </c>
      <c r="E123" s="23"/>
      <c r="F123" s="24"/>
    </row>
    <row r="124" spans="1:6" ht="12.75">
      <c r="A124" s="25">
        <v>108</v>
      </c>
      <c r="B124" s="37" t="s">
        <v>672</v>
      </c>
      <c r="C124" s="25">
        <v>106</v>
      </c>
      <c r="D124" s="33" t="s">
        <v>457</v>
      </c>
      <c r="E124" s="23"/>
      <c r="F124" s="24"/>
    </row>
    <row r="125" spans="1:6" ht="12.75">
      <c r="A125" s="25">
        <v>109</v>
      </c>
      <c r="B125" s="37" t="s">
        <v>673</v>
      </c>
      <c r="C125" s="25">
        <v>107</v>
      </c>
      <c r="D125" s="33" t="s">
        <v>458</v>
      </c>
      <c r="E125" s="23"/>
      <c r="F125" s="24"/>
    </row>
    <row r="126" spans="1:6" ht="12.75">
      <c r="A126" s="25">
        <v>110</v>
      </c>
      <c r="B126" s="37" t="s">
        <v>674</v>
      </c>
      <c r="C126" s="25">
        <v>108</v>
      </c>
      <c r="D126" s="33" t="s">
        <v>459</v>
      </c>
      <c r="E126" s="23"/>
      <c r="F126" s="24"/>
    </row>
    <row r="127" spans="1:6" ht="12.75">
      <c r="A127" s="25">
        <v>111</v>
      </c>
      <c r="B127" s="37" t="s">
        <v>675</v>
      </c>
      <c r="C127" s="25">
        <v>109</v>
      </c>
      <c r="D127" s="33" t="s">
        <v>460</v>
      </c>
      <c r="E127" s="23"/>
      <c r="F127" s="24"/>
    </row>
    <row r="128" spans="1:6" ht="12.75" customHeight="1">
      <c r="A128" s="25">
        <v>112</v>
      </c>
      <c r="B128" s="37" t="s">
        <v>676</v>
      </c>
      <c r="C128" s="25">
        <v>110</v>
      </c>
      <c r="D128" s="33" t="s">
        <v>461</v>
      </c>
      <c r="E128" s="23"/>
      <c r="F128" s="24"/>
    </row>
    <row r="129" spans="1:6" ht="12.75">
      <c r="A129" s="25">
        <v>113</v>
      </c>
      <c r="B129" s="37" t="s">
        <v>677</v>
      </c>
      <c r="C129" s="25">
        <v>111</v>
      </c>
      <c r="D129" s="33" t="s">
        <v>462</v>
      </c>
      <c r="E129" s="23"/>
      <c r="F129" s="24"/>
    </row>
    <row r="130" spans="1:6" ht="12.75">
      <c r="A130" s="25">
        <v>114</v>
      </c>
      <c r="B130" s="37" t="s">
        <v>678</v>
      </c>
      <c r="C130" s="25">
        <v>112</v>
      </c>
      <c r="D130" s="29" t="s">
        <v>463</v>
      </c>
      <c r="E130" s="23"/>
      <c r="F130" s="24"/>
    </row>
    <row r="131" spans="1:6" ht="12.75">
      <c r="A131" s="25">
        <v>115</v>
      </c>
      <c r="B131" s="37" t="s">
        <v>679</v>
      </c>
      <c r="C131" s="25">
        <v>113</v>
      </c>
      <c r="D131" s="33" t="s">
        <v>464</v>
      </c>
      <c r="E131" s="23"/>
      <c r="F131" s="24"/>
    </row>
    <row r="132" spans="1:6" ht="12.75">
      <c r="A132" s="25">
        <v>116</v>
      </c>
      <c r="B132" s="37" t="s">
        <v>680</v>
      </c>
      <c r="C132" s="25">
        <v>114</v>
      </c>
      <c r="D132" s="33" t="s">
        <v>465</v>
      </c>
      <c r="E132" s="23"/>
      <c r="F132" s="24"/>
    </row>
    <row r="133" spans="1:6" ht="12.75">
      <c r="A133" s="25">
        <v>117</v>
      </c>
      <c r="B133" s="37" t="s">
        <v>681</v>
      </c>
      <c r="C133" s="25">
        <v>115</v>
      </c>
      <c r="D133" s="33" t="s">
        <v>466</v>
      </c>
      <c r="E133" s="23"/>
      <c r="F133" s="24"/>
    </row>
    <row r="134" spans="1:6" ht="12.75">
      <c r="A134" s="25">
        <v>118</v>
      </c>
      <c r="B134" s="32" t="s">
        <v>682</v>
      </c>
      <c r="C134" s="25">
        <v>116</v>
      </c>
      <c r="D134" s="33" t="s">
        <v>467</v>
      </c>
      <c r="E134" s="23"/>
      <c r="F134" s="24"/>
    </row>
    <row r="135" spans="1:6" ht="25.5">
      <c r="A135" s="35"/>
      <c r="B135" s="36"/>
      <c r="C135" s="25">
        <v>117</v>
      </c>
      <c r="D135" s="33" t="s">
        <v>468</v>
      </c>
      <c r="E135" s="23"/>
      <c r="F135" s="24"/>
    </row>
    <row r="136" spans="1:6" ht="12.75">
      <c r="A136" s="35"/>
      <c r="B136" s="38" t="s">
        <v>699</v>
      </c>
      <c r="C136" s="25">
        <v>118</v>
      </c>
      <c r="D136" s="29" t="s">
        <v>486</v>
      </c>
      <c r="E136" s="23"/>
      <c r="F136" s="24"/>
    </row>
    <row r="137" spans="1:6" ht="12.75">
      <c r="A137" s="35"/>
      <c r="B137" s="36"/>
      <c r="C137" s="25">
        <v>119</v>
      </c>
      <c r="D137" s="29" t="s">
        <v>487</v>
      </c>
      <c r="E137" s="23"/>
      <c r="F137" s="24"/>
    </row>
    <row r="138" spans="1:6" ht="12.75">
      <c r="A138" s="25">
        <v>119</v>
      </c>
      <c r="B138" s="36" t="s">
        <v>700</v>
      </c>
      <c r="C138" s="25">
        <v>120</v>
      </c>
      <c r="D138" s="29" t="s">
        <v>488</v>
      </c>
      <c r="E138" s="23"/>
      <c r="F138" s="24"/>
    </row>
    <row r="139" spans="1:6" ht="12.75">
      <c r="A139" s="25">
        <v>120</v>
      </c>
      <c r="B139" s="30" t="s">
        <v>590</v>
      </c>
      <c r="C139" s="25">
        <v>121</v>
      </c>
      <c r="D139" s="29" t="s">
        <v>489</v>
      </c>
      <c r="E139" s="23"/>
      <c r="F139" s="24"/>
    </row>
    <row r="140" spans="1:6" ht="12.75">
      <c r="A140" s="25">
        <v>121</v>
      </c>
      <c r="B140" s="30" t="s">
        <v>591</v>
      </c>
      <c r="C140" s="25">
        <v>122</v>
      </c>
      <c r="D140" s="29" t="s">
        <v>502</v>
      </c>
      <c r="E140" s="23"/>
      <c r="F140" s="24"/>
    </row>
    <row r="141" spans="1:6" ht="12.75">
      <c r="A141" s="25">
        <v>122</v>
      </c>
      <c r="B141" s="30" t="s">
        <v>592</v>
      </c>
      <c r="C141" s="25">
        <v>123</v>
      </c>
      <c r="D141" s="29" t="s">
        <v>503</v>
      </c>
      <c r="E141" s="23"/>
      <c r="F141" s="24"/>
    </row>
    <row r="142" spans="1:6" ht="12.75">
      <c r="A142" s="25">
        <v>123</v>
      </c>
      <c r="B142" s="32" t="s">
        <v>593</v>
      </c>
      <c r="C142" s="25">
        <v>124</v>
      </c>
      <c r="D142" s="29" t="s">
        <v>504</v>
      </c>
      <c r="E142" s="23"/>
      <c r="F142" s="24"/>
    </row>
    <row r="143" spans="1:6" ht="12.75">
      <c r="A143" s="25">
        <v>124</v>
      </c>
      <c r="B143" s="32" t="s">
        <v>594</v>
      </c>
      <c r="C143" s="25">
        <v>125</v>
      </c>
      <c r="D143" s="29" t="s">
        <v>505</v>
      </c>
      <c r="E143" s="23"/>
      <c r="F143" s="24"/>
    </row>
    <row r="144" spans="1:6" ht="12.75">
      <c r="A144" s="25">
        <v>125</v>
      </c>
      <c r="B144" s="32" t="s">
        <v>595</v>
      </c>
      <c r="C144" s="25">
        <v>126</v>
      </c>
      <c r="D144" s="29" t="s">
        <v>506</v>
      </c>
      <c r="E144" s="23"/>
      <c r="F144" s="24"/>
    </row>
    <row r="145" spans="1:6" ht="12.75">
      <c r="A145" s="25">
        <v>126</v>
      </c>
      <c r="B145" s="32" t="s">
        <v>596</v>
      </c>
      <c r="C145" s="25">
        <v>127</v>
      </c>
      <c r="D145" s="29" t="s">
        <v>507</v>
      </c>
      <c r="E145" s="23"/>
      <c r="F145" s="24"/>
    </row>
    <row r="146" spans="1:6" ht="12.75">
      <c r="A146" s="25">
        <v>127</v>
      </c>
      <c r="B146" s="32" t="s">
        <v>597</v>
      </c>
      <c r="C146" s="25">
        <v>128</v>
      </c>
      <c r="D146" s="29" t="s">
        <v>508</v>
      </c>
      <c r="E146" s="23"/>
      <c r="F146" s="24"/>
    </row>
    <row r="147" spans="1:6" ht="12.75">
      <c r="A147" s="25">
        <v>128</v>
      </c>
      <c r="B147" s="32" t="s">
        <v>598</v>
      </c>
      <c r="C147" s="25">
        <v>129</v>
      </c>
      <c r="D147" s="29" t="s">
        <v>509</v>
      </c>
      <c r="E147" s="23"/>
      <c r="F147" s="24"/>
    </row>
    <row r="148" spans="1:6" ht="12.75">
      <c r="A148" s="25">
        <v>129</v>
      </c>
      <c r="B148" s="32" t="s">
        <v>599</v>
      </c>
      <c r="C148" s="25">
        <v>130</v>
      </c>
      <c r="D148" s="29" t="s">
        <v>510</v>
      </c>
      <c r="E148" s="23"/>
      <c r="F148" s="24"/>
    </row>
    <row r="149" spans="1:6" ht="12.75">
      <c r="A149" s="25">
        <v>130</v>
      </c>
      <c r="B149" s="30" t="s">
        <v>600</v>
      </c>
      <c r="C149" s="25">
        <v>131</v>
      </c>
      <c r="D149" s="29" t="s">
        <v>511</v>
      </c>
      <c r="E149" s="23"/>
      <c r="F149" s="24"/>
    </row>
    <row r="150" spans="1:6" ht="12.75">
      <c r="A150" s="25">
        <v>131</v>
      </c>
      <c r="B150" s="30" t="s">
        <v>601</v>
      </c>
      <c r="C150" s="25">
        <v>132</v>
      </c>
      <c r="D150" s="29" t="s">
        <v>512</v>
      </c>
      <c r="E150" s="23"/>
      <c r="F150" s="24"/>
    </row>
    <row r="151" spans="1:6" ht="12.75">
      <c r="A151" s="25">
        <v>132</v>
      </c>
      <c r="B151" s="30" t="s">
        <v>602</v>
      </c>
      <c r="C151" s="25">
        <v>133</v>
      </c>
      <c r="D151" s="29" t="s">
        <v>513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470</v>
      </c>
      <c r="E153" s="23"/>
      <c r="F153" s="24"/>
    </row>
    <row r="154" spans="1:6" ht="25.5">
      <c r="A154" s="35"/>
      <c r="C154" s="25">
        <v>135</v>
      </c>
      <c r="D154" s="33" t="s">
        <v>471</v>
      </c>
      <c r="E154" s="23"/>
      <c r="F154" s="24"/>
    </row>
    <row r="155" spans="1:6" ht="12.75">
      <c r="A155" s="35"/>
      <c r="B155" s="36"/>
      <c r="C155" s="25">
        <v>136</v>
      </c>
      <c r="D155" s="33" t="s">
        <v>473</v>
      </c>
      <c r="E155" s="23"/>
      <c r="F155" s="24"/>
    </row>
    <row r="156" spans="1:6" ht="12.75">
      <c r="A156" s="35"/>
      <c r="B156" s="36"/>
      <c r="C156" s="25">
        <v>137</v>
      </c>
      <c r="D156" s="33" t="s">
        <v>472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659</v>
      </c>
      <c r="E158" s="23"/>
      <c r="F158" s="24"/>
    </row>
    <row r="159" spans="1:6" ht="12.75">
      <c r="A159" s="35"/>
      <c r="B159" s="36"/>
      <c r="C159" s="25">
        <v>140</v>
      </c>
      <c r="D159" s="33" t="s">
        <v>660</v>
      </c>
      <c r="E159" s="23"/>
      <c r="F159" s="24"/>
    </row>
    <row r="160" spans="1:6" ht="12.75">
      <c r="A160" s="35"/>
      <c r="B160" s="36"/>
      <c r="C160" s="25">
        <v>141</v>
      </c>
      <c r="D160" s="33" t="s">
        <v>661</v>
      </c>
      <c r="E160" s="23"/>
      <c r="F160" s="24"/>
    </row>
    <row r="161" spans="1:6" ht="12.75">
      <c r="A161" s="35"/>
      <c r="B161" s="36"/>
      <c r="C161" s="25">
        <v>142</v>
      </c>
      <c r="D161" s="33" t="s">
        <v>662</v>
      </c>
      <c r="E161" s="23"/>
      <c r="F161" s="24"/>
    </row>
    <row r="162" spans="1:6" ht="12.75">
      <c r="A162" s="35"/>
      <c r="B162" s="36"/>
      <c r="C162" s="25">
        <v>143</v>
      </c>
      <c r="D162" s="33" t="s">
        <v>663</v>
      </c>
      <c r="E162" s="23"/>
      <c r="F162" s="24"/>
    </row>
    <row r="163" spans="1:6" ht="12.75">
      <c r="A163" s="35"/>
      <c r="B163" s="36"/>
      <c r="C163" s="25">
        <v>144</v>
      </c>
      <c r="D163" s="33" t="s">
        <v>664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2015-10-27T09:08:10Z</cp:lastPrinted>
  <dcterms:created xsi:type="dcterms:W3CDTF">2003-01-28T12:33:10Z</dcterms:created>
  <dcterms:modified xsi:type="dcterms:W3CDTF">2015-11-03T06:28:46Z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