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14,10 смр\л.Толстого , 57\"/>
    </mc:Choice>
  </mc:AlternateContent>
  <bookViews>
    <workbookView xWindow="0" yWindow="60" windowWidth="7500" windowHeight="4245"/>
  </bookViews>
  <sheets>
    <sheet name="Лок.См.Расч.Баз.-Инд.Методом" sheetId="5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'Лок.См.Расч.Баз.-Инд.Методом'!$15:$18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0">'Лок.См.Расч.Баз.-Инд.Методом'!$A$1:$N$227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calcId="152511"/>
</workbook>
</file>

<file path=xl/calcChain.xml><?xml version="1.0" encoding="utf-8"?>
<calcChain xmlns="http://schemas.openxmlformats.org/spreadsheetml/2006/main">
  <c r="L203" i="5" l="1"/>
  <c r="AI203" i="5"/>
  <c r="L204" i="5"/>
  <c r="AI204" i="5"/>
  <c r="L205" i="5"/>
  <c r="AI205" i="5"/>
  <c r="L184" i="5"/>
  <c r="AI184" i="5"/>
  <c r="L185" i="5"/>
  <c r="AI185" i="5"/>
  <c r="L186" i="5"/>
  <c r="AI186" i="5"/>
  <c r="L187" i="5"/>
  <c r="AI187" i="5"/>
  <c r="L188" i="5"/>
  <c r="AI188" i="5"/>
  <c r="L189" i="5"/>
  <c r="AI189" i="5"/>
  <c r="L190" i="5"/>
  <c r="AI190" i="5"/>
  <c r="L191" i="5"/>
  <c r="AI191" i="5"/>
  <c r="L192" i="5"/>
  <c r="AI192" i="5"/>
  <c r="L193" i="5"/>
  <c r="AI193" i="5"/>
  <c r="L172" i="5"/>
  <c r="AI172" i="5"/>
  <c r="L173" i="5"/>
  <c r="AI173" i="5"/>
  <c r="L174" i="5"/>
  <c r="AI174" i="5"/>
  <c r="L175" i="5"/>
  <c r="AI175" i="5"/>
  <c r="L176" i="5"/>
  <c r="AI176" i="5"/>
  <c r="L177" i="5"/>
  <c r="AI177" i="5"/>
  <c r="L153" i="5"/>
  <c r="AI153" i="5"/>
  <c r="L154" i="5"/>
  <c r="AI154" i="5"/>
  <c r="L155" i="5"/>
  <c r="AI155" i="5"/>
  <c r="L156" i="5"/>
  <c r="AI156" i="5"/>
  <c r="L157" i="5"/>
  <c r="AI157" i="5"/>
  <c r="L158" i="5"/>
  <c r="AI158" i="5"/>
  <c r="L159" i="5"/>
  <c r="AI159" i="5"/>
  <c r="L160" i="5"/>
  <c r="AI160" i="5"/>
  <c r="L161" i="5"/>
  <c r="AI161" i="5"/>
  <c r="L162" i="5"/>
  <c r="AI162" i="5"/>
  <c r="L129" i="5"/>
  <c r="AI129" i="5"/>
  <c r="L130" i="5"/>
  <c r="AI130" i="5"/>
  <c r="L131" i="5"/>
  <c r="AI131" i="5"/>
  <c r="L132" i="5"/>
  <c r="AI132" i="5"/>
  <c r="L133" i="5"/>
  <c r="AI133" i="5"/>
  <c r="L134" i="5"/>
  <c r="AI134" i="5"/>
  <c r="L135" i="5"/>
  <c r="AI135" i="5"/>
  <c r="L136" i="5"/>
  <c r="AI136" i="5"/>
  <c r="L137" i="5"/>
  <c r="AI137" i="5"/>
  <c r="L138" i="5"/>
  <c r="AI138" i="5"/>
  <c r="L139" i="5"/>
  <c r="AI139" i="5"/>
  <c r="L140" i="5"/>
  <c r="AI140" i="5"/>
  <c r="L141" i="5"/>
  <c r="AI141" i="5"/>
  <c r="L142" i="5"/>
  <c r="AI142" i="5"/>
  <c r="L143" i="5"/>
  <c r="AI143" i="5"/>
  <c r="L78" i="5"/>
  <c r="AI78" i="5"/>
  <c r="L79" i="5"/>
  <c r="AI79" i="5"/>
  <c r="L80" i="5"/>
  <c r="AI80" i="5"/>
  <c r="L81" i="5"/>
  <c r="AI81" i="5"/>
  <c r="L82" i="5"/>
  <c r="AI82" i="5"/>
  <c r="L83" i="5"/>
  <c r="AI83" i="5"/>
  <c r="L84" i="5"/>
  <c r="AI84" i="5"/>
  <c r="L85" i="5"/>
  <c r="AI85" i="5"/>
  <c r="L86" i="5"/>
  <c r="AI86" i="5"/>
  <c r="L87" i="5"/>
  <c r="AI87" i="5"/>
  <c r="L88" i="5"/>
  <c r="AI88" i="5"/>
  <c r="L89" i="5"/>
  <c r="AI89" i="5"/>
  <c r="L90" i="5"/>
  <c r="AI90" i="5"/>
  <c r="L91" i="5"/>
  <c r="AI91" i="5"/>
  <c r="L92" i="5"/>
  <c r="AI92" i="5"/>
  <c r="L93" i="5"/>
  <c r="AI93" i="5"/>
  <c r="L94" i="5"/>
  <c r="AI94" i="5"/>
  <c r="L95" i="5"/>
  <c r="AI95" i="5"/>
  <c r="L96" i="5"/>
  <c r="AI96" i="5"/>
  <c r="L97" i="5"/>
  <c r="AI97" i="5"/>
  <c r="L98" i="5"/>
  <c r="AI98" i="5"/>
  <c r="L99" i="5"/>
  <c r="AI99" i="5"/>
  <c r="L100" i="5"/>
  <c r="AI100" i="5"/>
  <c r="L101" i="5"/>
  <c r="AI101" i="5"/>
  <c r="L102" i="5"/>
  <c r="AI102" i="5"/>
  <c r="L103" i="5"/>
  <c r="AI103" i="5"/>
  <c r="L104" i="5"/>
  <c r="AI104" i="5"/>
  <c r="L105" i="5"/>
  <c r="AI105" i="5"/>
  <c r="L106" i="5"/>
  <c r="AI106" i="5"/>
  <c r="L107" i="5"/>
  <c r="AI107" i="5"/>
  <c r="L108" i="5"/>
  <c r="AI108" i="5"/>
  <c r="L109" i="5"/>
  <c r="AI109" i="5"/>
  <c r="L110" i="5"/>
  <c r="AI110" i="5"/>
  <c r="L111" i="5"/>
  <c r="AI111" i="5"/>
  <c r="L112" i="5"/>
  <c r="AI112" i="5"/>
  <c r="L113" i="5"/>
  <c r="AI113" i="5"/>
  <c r="L114" i="5"/>
  <c r="AI114" i="5"/>
  <c r="L115" i="5"/>
  <c r="AI115" i="5"/>
  <c r="L116" i="5"/>
  <c r="AI116" i="5"/>
  <c r="L117" i="5"/>
  <c r="AI117" i="5"/>
  <c r="L118" i="5"/>
  <c r="AI118" i="5"/>
  <c r="L119" i="5"/>
  <c r="AI119" i="5"/>
  <c r="L38" i="5"/>
  <c r="AI38" i="5"/>
  <c r="L39" i="5"/>
  <c r="AI39" i="5"/>
  <c r="L40" i="5"/>
  <c r="AI40" i="5"/>
  <c r="L41" i="5"/>
  <c r="AI41" i="5"/>
  <c r="L42" i="5"/>
  <c r="AI42" i="5"/>
  <c r="L43" i="5"/>
  <c r="AI43" i="5"/>
  <c r="L44" i="5"/>
  <c r="AI44" i="5"/>
  <c r="L45" i="5"/>
  <c r="AI45" i="5"/>
  <c r="L46" i="5"/>
  <c r="AI46" i="5"/>
  <c r="L47" i="5"/>
  <c r="AI47" i="5"/>
  <c r="L48" i="5"/>
  <c r="AI48" i="5"/>
  <c r="L49" i="5"/>
  <c r="AI49" i="5"/>
  <c r="L50" i="5"/>
  <c r="AI50" i="5"/>
  <c r="L51" i="5"/>
  <c r="AI51" i="5"/>
  <c r="L52" i="5"/>
  <c r="AI52" i="5"/>
  <c r="L53" i="5"/>
  <c r="AI53" i="5"/>
  <c r="L54" i="5"/>
  <c r="AI54" i="5"/>
  <c r="L55" i="5"/>
  <c r="AI55" i="5"/>
  <c r="L56" i="5"/>
  <c r="AI56" i="5"/>
  <c r="L57" i="5"/>
  <c r="AI57" i="5"/>
  <c r="L58" i="5"/>
  <c r="AI58" i="5"/>
  <c r="L59" i="5"/>
  <c r="AI59" i="5"/>
  <c r="L60" i="5"/>
  <c r="AI60" i="5"/>
  <c r="L61" i="5"/>
  <c r="AI61" i="5"/>
  <c r="L62" i="5"/>
  <c r="AI62" i="5"/>
  <c r="L63" i="5"/>
  <c r="AI63" i="5"/>
  <c r="L64" i="5"/>
  <c r="AI64" i="5"/>
  <c r="L65" i="5"/>
  <c r="AI65" i="5"/>
  <c r="L66" i="5"/>
  <c r="AI66" i="5"/>
  <c r="L67" i="5"/>
  <c r="AI67" i="5"/>
  <c r="L68" i="5"/>
  <c r="AI68" i="5"/>
  <c r="L21" i="5"/>
  <c r="AI21" i="5"/>
  <c r="L22" i="5"/>
  <c r="AI22" i="5"/>
  <c r="L23" i="5"/>
  <c r="AI23" i="5"/>
  <c r="L24" i="5"/>
  <c r="AI24" i="5"/>
  <c r="L25" i="5"/>
  <c r="AI25" i="5"/>
  <c r="L26" i="5"/>
  <c r="AI26" i="5"/>
  <c r="L27" i="5"/>
  <c r="AI27" i="5"/>
  <c r="L28" i="5"/>
  <c r="AI28" i="5"/>
  <c r="L29" i="5"/>
  <c r="AI29" i="5"/>
  <c r="L30" i="5"/>
  <c r="AI30" i="5"/>
  <c r="L31" i="5"/>
  <c r="AI31" i="5"/>
  <c r="C56" i="5"/>
  <c r="C22" i="5"/>
  <c r="C28" i="5"/>
  <c r="C204" i="5"/>
  <c r="C184" i="5"/>
  <c r="C186" i="5"/>
  <c r="C188" i="5"/>
  <c r="C190" i="5"/>
  <c r="C192" i="5"/>
  <c r="C172" i="5"/>
  <c r="C174" i="5"/>
  <c r="C176" i="5"/>
  <c r="C153" i="5"/>
  <c r="C155" i="5"/>
  <c r="C157" i="5"/>
  <c r="C159" i="5"/>
  <c r="C161" i="5"/>
  <c r="C129" i="5"/>
  <c r="C131" i="5"/>
  <c r="C133" i="5"/>
  <c r="C135" i="5"/>
  <c r="C137" i="5"/>
  <c r="C139" i="5"/>
  <c r="C141" i="5"/>
  <c r="C143" i="5"/>
  <c r="C79" i="5"/>
  <c r="C81" i="5"/>
  <c r="C83" i="5"/>
  <c r="C85" i="5"/>
  <c r="C87" i="5"/>
  <c r="C89" i="5"/>
  <c r="C91" i="5"/>
  <c r="C93" i="5"/>
  <c r="C95" i="5"/>
  <c r="C97" i="5"/>
  <c r="C99" i="5"/>
  <c r="C101" i="5"/>
  <c r="C103" i="5"/>
  <c r="C105" i="5"/>
  <c r="C107" i="5"/>
  <c r="C109" i="5"/>
  <c r="C111" i="5"/>
  <c r="C113" i="5"/>
  <c r="C115" i="5"/>
  <c r="C117" i="5"/>
  <c r="C119" i="5"/>
  <c r="C39" i="5"/>
  <c r="C41" i="5"/>
  <c r="C43" i="5"/>
  <c r="C45" i="5"/>
  <c r="C47" i="5"/>
  <c r="C49" i="5"/>
  <c r="C51" i="5"/>
  <c r="C53" i="5"/>
  <c r="C55" i="5"/>
  <c r="C57" i="5"/>
  <c r="C59" i="5"/>
  <c r="C61" i="5"/>
  <c r="C63" i="5"/>
  <c r="C65" i="5"/>
  <c r="C67" i="5"/>
  <c r="C21" i="5"/>
  <c r="C23" i="5"/>
  <c r="C25" i="5"/>
  <c r="C27" i="5"/>
  <c r="C29" i="5"/>
  <c r="C31" i="5"/>
  <c r="C203" i="5"/>
  <c r="C205" i="5"/>
  <c r="C185" i="5"/>
  <c r="C187" i="5"/>
  <c r="C189" i="5"/>
  <c r="C191" i="5"/>
  <c r="C193" i="5"/>
  <c r="C173" i="5"/>
  <c r="C175" i="5"/>
  <c r="C177" i="5"/>
  <c r="C154" i="5"/>
  <c r="C156" i="5"/>
  <c r="C158" i="5"/>
  <c r="C160" i="5"/>
  <c r="C162" i="5"/>
  <c r="C130" i="5"/>
  <c r="C132" i="5"/>
  <c r="C134" i="5"/>
  <c r="C136" i="5"/>
  <c r="C138" i="5"/>
  <c r="C140" i="5"/>
  <c r="C142" i="5"/>
  <c r="C78" i="5"/>
  <c r="C80" i="5"/>
  <c r="C82" i="5"/>
  <c r="C84" i="5"/>
  <c r="C86" i="5"/>
  <c r="C88" i="5"/>
  <c r="C90" i="5"/>
  <c r="C92" i="5"/>
  <c r="C94" i="5"/>
  <c r="C96" i="5"/>
  <c r="C98" i="5"/>
  <c r="C100" i="5"/>
  <c r="C102" i="5"/>
  <c r="C104" i="5"/>
  <c r="C106" i="5"/>
  <c r="C108" i="5"/>
  <c r="C110" i="5"/>
  <c r="C112" i="5"/>
  <c r="C114" i="5"/>
  <c r="C116" i="5"/>
  <c r="C118" i="5"/>
  <c r="C38" i="5"/>
  <c r="C40" i="5"/>
  <c r="C42" i="5"/>
  <c r="C44" i="5"/>
  <c r="C46" i="5"/>
  <c r="C48" i="5"/>
  <c r="C50" i="5"/>
  <c r="C52" i="5"/>
  <c r="C54" i="5"/>
  <c r="C58" i="5"/>
  <c r="C60" i="5"/>
  <c r="C62" i="5"/>
  <c r="C64" i="5"/>
  <c r="C66" i="5"/>
  <c r="C68" i="5"/>
  <c r="C24" i="5"/>
  <c r="C26" i="5"/>
  <c r="C30" i="5"/>
</calcChain>
</file>

<file path=xl/comments1.xml><?xml version="1.0" encoding="utf-8"?>
<comments xmlns="http://schemas.openxmlformats.org/spreadsheetml/2006/main">
  <authors>
    <author>&lt;&gt;</author>
    <author>1</author>
    <author>Proba</author>
    <author>wall</author>
    <author>Rus</author>
    <author>Alex</author>
    <author>YuKazaeva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стройки&gt;</t>
        </r>
      </text>
    </comment>
    <comment ref="A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240 значение&gt;
&lt;подпись 240 атрибут 800 значение&gt;
ИНН/КПП &lt;подпись 240 атрибут 830 значение&gt;/&lt;подпись 240 атрибут 840 значение&gt;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230 значение&gt;
&lt;подпись 230 атрибут 800 значение&gt;
ИНН/КПП &lt;подпись 230 атрибут 830 значение&gt;/&lt;подпись 230 атрибут 840 значение&gt;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сметы&gt;, &lt;Наименование объекта&gt;</t>
        </r>
      </text>
    </comment>
    <comment ref="A10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
</t>
        </r>
      </text>
    </comment>
    <comment ref="C11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по расчету&gt;</t>
        </r>
      </text>
    </comment>
    <comment ref="D12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A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ПЗ=&lt;К-т к позиции на прямые затраты&gt;
ОЗП=&lt;К-т к позиции на основную з/п&gt;
ЭМ=&lt;К-т к позиции на эксплуатацию машин&gt;
ЗПМ=&lt;К-т к позиции на з/п машинистов&gt;
МАТ=&lt;К-т к позиции на материалы&gt;
ТЗ=&lt;К-т к позиции на трудозатраты рабочих&gt;
ТЗМ=&lt;К-т к позиции на трудозатраты механизаторов&gt;
&lt;Примечание&gt;</t>
        </r>
      </text>
    </comment>
    <comment ref="C19" authorId="0" shapeId="0">
      <text>
        <r>
          <rPr>
            <sz val="14"/>
            <color indexed="81"/>
            <rFont val="Tahoma"/>
            <family val="2"/>
            <charset val="204"/>
          </rPr>
          <t xml:space="preserve"> =INDIRECT("</t>
        </r>
        <r>
          <rPr>
            <b/>
            <sz val="14"/>
            <color indexed="81"/>
            <rFont val="Tahoma"/>
            <family val="2"/>
            <charset val="204"/>
          </rPr>
          <t>AF</t>
        </r>
        <r>
          <rPr>
            <sz val="14"/>
            <color indexed="81"/>
            <rFont val="Tahoma"/>
            <family val="2"/>
            <charset val="204"/>
          </rPr>
          <t>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руб.)")&amp;Char(10)&amp;Char(10)&lt;Пустой идентификатор&gt;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
&lt;Формула расчета физ. объема&gt;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</t>
        </r>
        <r>
          <rPr>
            <b/>
            <sz val="8"/>
            <color indexed="81"/>
            <rFont val="Tahoma"/>
            <family val="2"/>
            <charset val="204"/>
          </rPr>
          <t xml:space="preserve">
&lt;ОЗП по позиции на единицу в базисных ценах с учетом всех к-тов&gt;</t>
        </r>
      </text>
    </comment>
    <comment ref="F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19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для БИМ до начисления НР и СП&gt;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ОЗП по позиции для БИМ до начисления НР и СП&gt;
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L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&lt;ТЗМ по позиции на единицу&gt;</t>
        </r>
      </text>
    </comment>
    <comment ref="N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&lt;ТЗМ по позиции всего&gt;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A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НР для БИМ&gt;</t>
        </r>
      </text>
    </comment>
    <comment ref="AB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СП для БИМ&gt;</t>
        </r>
      </text>
    </comment>
    <comment ref="AC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НР по позиции для БИМ&gt;</t>
        </r>
      </text>
    </comment>
    <comment ref="AD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СП по позиции для БИМ&gt;</t>
        </r>
      </text>
    </comment>
    <comment ref="AE19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&lt;Обоснование коэффициентов&gt;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F19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G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&lt;Ед. измерения по расценке&gt;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H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&lt;Формула расчета стоимости единицы&gt;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I19" authorId="1" shapeId="0">
      <text>
        <r>
          <rPr>
            <sz val="8"/>
            <color indexed="81"/>
            <rFont val="Tahoma"/>
            <family val="2"/>
            <charset val="204"/>
          </rPr>
          <t xml:space="preserve"> =&lt;Общая стоимость ОЗП по позиции для БИМ до начисления НР и СП&gt;+&lt;Общая стоимость ЗПМ по позиции для БИМ до начисления НР и СП&gt;
</t>
        </r>
      </text>
    </comment>
    <comment ref="A20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20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20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20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&lt;З/п машинистов (итоги)&gt;</t>
        </r>
      </text>
    </comment>
    <comment ref="L20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N20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2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______________&lt;Составил&gt;</t>
        </r>
      </text>
    </comment>
    <comment ref="F22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<sst xmlns="http://schemas.openxmlformats.org/spreadsheetml/2006/main" count="1079" uniqueCount="708">
  <si>
    <t>Заказчик</t>
  </si>
  <si>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</si>
  <si>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</si>
  <si>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</si>
  <si>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</si>
  <si>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</si>
  <si>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</si>
  <si>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</si>
  <si>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</si>
  <si>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</si>
  <si>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</si>
  <si>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</si>
  <si>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</si>
  <si>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</si>
  <si>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</si>
  <si>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</si>
  <si>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</si>
  <si>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</si>
  <si>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</si>
  <si>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</si>
  <si>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</si>
  <si>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</si>
  <si>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единица измерения</t>
  </si>
  <si>
    <r>
      <t xml:space="preserve">Стоимость единицы                                        </t>
    </r>
    <r>
      <rPr>
        <i/>
        <sz val="10"/>
        <rFont val="Times New Roman"/>
        <family val="1"/>
        <charset val="204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</si>
  <si>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10"/>
        <rFont val="Times New Roman"/>
        <family val="1"/>
        <charset val="204"/>
      </rPr>
      <t>(в текущем уровне цен)</t>
    </r>
  </si>
  <si>
    <t xml:space="preserve">
ИНН/КПП /</t>
  </si>
  <si>
    <t>ЛОКАЛЬНЫЙ СМЕТНЫЙ РАСЧЕТ №  02-01-01</t>
  </si>
  <si>
    <t>Основание:  проект АС</t>
  </si>
  <si>
    <t>Проверил:____________________________</t>
  </si>
  <si>
    <t xml:space="preserve">                           Раздел 1. Демонтажные работы</t>
  </si>
  <si>
    <t>ФЕР46-04-008-04</t>
  </si>
  <si>
    <t>154,66
124,02</t>
  </si>
  <si>
    <t>46.70 Разборка покрытий кровель: ОЗП=16,45; ЭМ=2,99; ЗПМ=16,45</t>
  </si>
  <si>
    <t>НР 84%=110%*(0,85*0,9) от ФОТ</t>
  </si>
  <si>
    <t>СП 48%=70%*(0,8*0,85) от ФОТ</t>
  </si>
  <si>
    <t>Разборка покрытий кровель: из волнистых и полуволнистых асбестоцементных листов</t>
  </si>
  <si>
    <t>100 м2 покрытия</t>
  </si>
  <si>
    <t>ФЕР46-04-008-02</t>
  </si>
  <si>
    <t>79,44
66,92</t>
  </si>
  <si>
    <t>Разборка покрытий кровель: из листовой стали</t>
  </si>
  <si>
    <t>ФЕРр58-3-1</t>
  </si>
  <si>
    <t>71,18
70,98</t>
  </si>
  <si>
    <t>84.3 Разборка мелких покрытий и обделок из листовой стали: ОЗП=16,45; ЭМ=4,75; ЗПМ=16,45</t>
  </si>
  <si>
    <t>НР 71%=83%*0,85 от ФОТ</t>
  </si>
  <si>
    <t>СП 52%=65%*0,8 от ФОТ</t>
  </si>
  <si>
    <t>Разборка мелких покрытий и обделок из листовой стали: поясков, сандриков, желобов, отливов, свесов и т.п.</t>
  </si>
  <si>
    <t>100 м труб и покрытий</t>
  </si>
  <si>
    <t>ФЕРр58-2-2</t>
  </si>
  <si>
    <t>2466,21
2455,84</t>
  </si>
  <si>
    <t>84.2 Разборка слуховых окон: ОЗП=16,45; ЭМ=4,64; ЗПМ=16,45</t>
  </si>
  <si>
    <t>Разборка слуховых окон: прямоугольных односкатных</t>
  </si>
  <si>
    <t>100 окон</t>
  </si>
  <si>
    <t>ФЕРр58-1-1</t>
  </si>
  <si>
    <t>160,11
120,37</t>
  </si>
  <si>
    <t>39,74
6,21</t>
  </si>
  <si>
    <t>84.1 Разборка деревянных элементов конструкций крыш: ОЗП=16,45; ЭМ=12,02; ЗПМ=16,45</t>
  </si>
  <si>
    <t>2897
625</t>
  </si>
  <si>
    <t>15,16
0,46</t>
  </si>
  <si>
    <t>91,76
2,78</t>
  </si>
  <si>
    <t>Разборка деревянных элементов конструкций крыш: обрешетки из брусков с прозорами</t>
  </si>
  <si>
    <t>100 м2 кровли</t>
  </si>
  <si>
    <t>ФЕРр58-1-2</t>
  </si>
  <si>
    <t>208,54
183,48</t>
  </si>
  <si>
    <t>25,06
3,92</t>
  </si>
  <si>
    <t>180
33</t>
  </si>
  <si>
    <t>22,68
0,29</t>
  </si>
  <si>
    <t>13,31
0,17</t>
  </si>
  <si>
    <t>Разборка деревянных элементов конструкций крыш: стропил со стойками и подкосами из досок</t>
  </si>
  <si>
    <t>ФЕР10-01-008-05
ОЗП=0,8
ЭМ=0,8
ЗПМ=0,8
МАТ=0
ТЗ=0,8
ТЗМ=0,8</t>
  </si>
  <si>
    <t>1039,68
975,83</t>
  </si>
  <si>
    <t>10.12. Устройство карнизов: ОЗП=16,45; ЭМ=11,36; ЗПМ=16,45; МАТ=6,51</t>
  </si>
  <si>
    <t>НР 90%=118%*(0,85*0,9) от ФОТ</t>
  </si>
  <si>
    <t>СП 43%=63%*(0,8*0,85) от ФОТ</t>
  </si>
  <si>
    <t>КОЭФ. К ПОЗИЦИИ:
Демонтаж (разборка) сборных деревянных конструкций ОЗП=0,8; ЭМ=0,8 к расх.; ЗПМ=0,8; МАТ=0 к расх.; ТЗ=0,8; ТЗМ=0,8</t>
  </si>
  <si>
    <t>Демонтаж: карнизов</t>
  </si>
  <si>
    <t>100 м2 стен, фронтонов (за вычетом проемов) и развернутых поверхностей карнизов</t>
  </si>
  <si>
    <t>ФЕР46-04-001-04</t>
  </si>
  <si>
    <t>11,03
3,23+7,8</t>
  </si>
  <si>
    <t>180,03
73,01</t>
  </si>
  <si>
    <t>107,02
11,57</t>
  </si>
  <si>
    <t>46.59 Разборка: кирпичных и мелкоблочных стен: ОЗП=16,45; ЭМ=7,36; ЗПМ=16,45</t>
  </si>
  <si>
    <t>8685
2106</t>
  </si>
  <si>
    <t>8,24
1,15</t>
  </si>
  <si>
    <t>90,89
12,68</t>
  </si>
  <si>
    <t>Разборка: кирпичных стен</t>
  </si>
  <si>
    <t>1 м3</t>
  </si>
  <si>
    <t>ФЕРр69-15-1</t>
  </si>
  <si>
    <t>61,95
103,25*0,6</t>
  </si>
  <si>
    <t>23,81
7,41</t>
  </si>
  <si>
    <t>94.26 Затаривание строительного мусора в мешки: ОЗП=16,45; МАТ=7,38</t>
  </si>
  <si>
    <t>НР 66%=78%*0,85 от ФОТ</t>
  </si>
  <si>
    <t>СП 40%=50%*0,8 от ФОТ</t>
  </si>
  <si>
    <t>Затаривание строительного мусора в мешки Шлак</t>
  </si>
  <si>
    <t>1 т</t>
  </si>
  <si>
    <t>ФЕР16-04-001-02
ОЗП=0,4
ЭМ=0,4
ЗПМ=0,4
МАТ=0
ТЗ=0,4
ТЗМ=0,4</t>
  </si>
  <si>
    <t>247,06
244,43</t>
  </si>
  <si>
    <t>2,63
0,27</t>
  </si>
  <si>
    <t>16.103 Прокладка трубопроводов канализации из полиэтиленовых труб высокой плотности диаметром: 100 мм: ОЗП=16,45; ЭМ=11,41; ЗПМ=16,45; МАТ=3,14</t>
  </si>
  <si>
    <t>24,64
0,02</t>
  </si>
  <si>
    <t>НР 98%=128%*(0,85*0,9) от ФОТ</t>
  </si>
  <si>
    <t>СП 56%=83%*(0,8*0,85) от ФОТ</t>
  </si>
  <si>
    <t>КОЭФ. К ПОЗИЦИИ:
Демонтаж (разборка) внутренних санитарно-технических устройств (водопровода, газопровода, канализации, водостоков, отопления, вентиляции) ОЗП=0,4; ЭМ=0,4 к расх.; ЗПМ=0,4; МАТ=0 к расх.; ТЗ=0,4; ТЗМ=0,4</t>
  </si>
  <si>
    <t>Разборка трубопроводов канализации из полиэтиленовых труб высокой плотности диаметром: 110 мм</t>
  </si>
  <si>
    <t>100 м трубопровода</t>
  </si>
  <si>
    <t>ФЕРр65-35-1</t>
  </si>
  <si>
    <t>189,06
159,51</t>
  </si>
  <si>
    <t>0,31
0,14</t>
  </si>
  <si>
    <t>90.114 Прочистка вентиляционных каналов: ОЗП=16,45; ЭМ=7,26; ЗПМ=16,45; МАТ=8,9</t>
  </si>
  <si>
    <t>18,7
0,01</t>
  </si>
  <si>
    <t>НР 63%=74%*0,85 от ФОТ</t>
  </si>
  <si>
    <t>Прочистка вентиляционных каналов</t>
  </si>
  <si>
    <t>100 м канала</t>
  </si>
  <si>
    <t>Итого прямые затраты по разделу в ценах 2001г.</t>
  </si>
  <si>
    <t>1694
168</t>
  </si>
  <si>
    <t>502,88
15,63</t>
  </si>
  <si>
    <t>Итого прямые затраты по разделу с учетом индексов, в текущих ценах</t>
  </si>
  <si>
    <t>13153
2764</t>
  </si>
  <si>
    <t>Накладные расходы</t>
  </si>
  <si>
    <t>Сметная прибыль</t>
  </si>
  <si>
    <t>Итого по разделу 1 Демонтажные работы</t>
  </si>
  <si>
    <t xml:space="preserve">                           Раздел 2. Чердак</t>
  </si>
  <si>
    <t>ФЕР11-01-035-04
ПЗ=2
ОЗП=2
ЭМ=2
ЗПМ=2
МАТ=2
ТЗ=2
ТЗМ=2
прим. листы ГВЛВ</t>
  </si>
  <si>
    <t>9010,46
826,68</t>
  </si>
  <si>
    <t>181,78
15,66</t>
  </si>
  <si>
    <t>11.83. Устройство покрытий: из плит древесностружечных: ОЗП=16,45; ЭМ=10,56; ЗПМ=16,45; МАТ=6,67</t>
  </si>
  <si>
    <t>11891
1612</t>
  </si>
  <si>
    <t>95,68
1,16</t>
  </si>
  <si>
    <t>474,19
5,75</t>
  </si>
  <si>
    <t>НР 94%=123%*(0,85*0,9) от ФОТ</t>
  </si>
  <si>
    <t>СП 51%=75%*(0,8*0,85) от ФОТ</t>
  </si>
  <si>
    <t>КОЭФ. К ПОЗИЦИИ:
В 2 слоя ПЗ=2 (ОЗП=2; ЭМ=2 к расх.; ЗПМ=2; МАТ=2 к расх.; ТЗ=2; ТЗМ=2)</t>
  </si>
  <si>
    <t>Устройство покрытий: из плит древесностружечных</t>
  </si>
  <si>
    <t>ФССЦ-101-0699</t>
  </si>
  <si>
    <t>Плиты древесностружечные многослойные и трехслойные, марки П-1, толщиной:18-20 мм; МАТ=6,724</t>
  </si>
  <si>
    <t>Плиты древесностружечные многослойные и трехслойные, марки П-1, толщиной: 18-20 мм</t>
  </si>
  <si>
    <t>100 м2</t>
  </si>
  <si>
    <t>ФССЦ-101-2514</t>
  </si>
  <si>
    <t>Листы гипсоволокнистые:влагостойкие ГВЛВ 12,5 мм; МАТ=4,91</t>
  </si>
  <si>
    <t>Листы гипсоволокнистые: влагостойкие ГВЛВ 12,5 мм</t>
  </si>
  <si>
    <t>м2</t>
  </si>
  <si>
    <t>ФЕР08-02-001-01</t>
  </si>
  <si>
    <t>890,84
44,87</t>
  </si>
  <si>
    <t>34,56
5,4</t>
  </si>
  <si>
    <t>8.14. Кладка стен из кирпича: ОЗП=16,45; ЭМ=12,02; ЗПМ=16,45; МАТ=4,63</t>
  </si>
  <si>
    <t>4207
905</t>
  </si>
  <si>
    <t>5,4
0,4</t>
  </si>
  <si>
    <t>43,79
3,24</t>
  </si>
  <si>
    <t>НР 93%=122%*(0,85*0,9) от ФОТ</t>
  </si>
  <si>
    <t>СП 54%=80%*(0,8*0,85) от ФОТ</t>
  </si>
  <si>
    <t>Кладка стен кирпичных наружных: простых при высоте этажа до 4 м</t>
  </si>
  <si>
    <t>1 м3 кладки</t>
  </si>
  <si>
    <t>ФЕР08-02-003-03</t>
  </si>
  <si>
    <t>933,48
74,54</t>
  </si>
  <si>
    <t>36,29
5,67</t>
  </si>
  <si>
    <t>8.17. Кладка из кирпича конструкций: ОЗП=16,45; ЭМ=11,97; ЗПМ=16,45; МАТ=4,63</t>
  </si>
  <si>
    <t>180
49</t>
  </si>
  <si>
    <t>7,93
0,42</t>
  </si>
  <si>
    <t>2,7
0,14</t>
  </si>
  <si>
    <t>Кладка из кирпича: столбов прямоугольных неармированных при высоте этажа до 4 м</t>
  </si>
  <si>
    <t>ФЕРр58-13-1</t>
  </si>
  <si>
    <t>924,81
36,25</t>
  </si>
  <si>
    <t>84.34 Устройство покрытия из рулонных материалов: насухо без промазки кромок: ОЗП=16,45; ЭМ=11,42; ЗПМ=16,45; МАТ=5</t>
  </si>
  <si>
    <t>Устройство покрытия из рулонных материалов: насухо без промазки кромок</t>
  </si>
  <si>
    <t>ФССЦ-101-0852</t>
  </si>
  <si>
    <t>Рубероид кровельный с крупнозернистой посыпкой марки: РКК-350б; МАТ=4,999</t>
  </si>
  <si>
    <t>Рубероид кровельный с крупнозернистой посыпкой марки: РКК-350б</t>
  </si>
  <si>
    <t>ТССЦ-104-9221-90002</t>
  </si>
  <si>
    <t>Индекс на материалы; МАТ=5,58</t>
  </si>
  <si>
    <t>Изоспан: Двухслойная паропроницаемая мембрана марки В 13,60/5,58=2,44</t>
  </si>
  <si>
    <t>ФЕР12-01-013-03</t>
  </si>
  <si>
    <t>4711,58
433,09</t>
  </si>
  <si>
    <t>132,25
7,43</t>
  </si>
  <si>
    <t>12.31. Утепление покрытий плитами: из минеральной ваты или перлита на битумной мастике: ОЗП=16,45; ЭМ=9,01; ЗПМ=16,45; МАТ=6,8</t>
  </si>
  <si>
    <t>6154
642</t>
  </si>
  <si>
    <t>45,54
0,55</t>
  </si>
  <si>
    <t>188,16
2,27</t>
  </si>
  <si>
    <t>НР 92%=120%*(0,85*0,9) от ФОТ</t>
  </si>
  <si>
    <t>СП 44%=65%*(0,8*0,85) от ФОТ</t>
  </si>
  <si>
    <t>Утепление покрытий плитами: из минеральной ваты или перлита на битумной мастике в один слой</t>
  </si>
  <si>
    <t>100 м2 утепляемого покрытия</t>
  </si>
  <si>
    <t>ФСЭМ-121011</t>
  </si>
  <si>
    <t>Котлы битумные передвижные 400 л; ЭМ=5,43</t>
  </si>
  <si>
    <t>НР 0% от ФОТ</t>
  </si>
  <si>
    <t>СП 0% от ФОТ</t>
  </si>
  <si>
    <t>Котлы битумные передвижные 400 л</t>
  </si>
  <si>
    <t>маш.-ч</t>
  </si>
  <si>
    <t>ФССЦ-101-0078</t>
  </si>
  <si>
    <t>Битумы нефтяные строительные кровельные марки БНК-45/190, БНК-45/180</t>
  </si>
  <si>
    <t>т</t>
  </si>
  <si>
    <t>ФССЦ-101-0322</t>
  </si>
  <si>
    <t>Керосин для технических целей марок КТ-1, КТ-2</t>
  </si>
  <si>
    <t>ФССЦ-101-0594</t>
  </si>
  <si>
    <t>Мастика битумная кровельная горячая</t>
  </si>
  <si>
    <t>ФССЦ-104-0004</t>
  </si>
  <si>
    <t>Плиты из минеральной ваты:на синтетическом связующем М-125 (ГОСТ 9573-82); МАТ=5,854</t>
  </si>
  <si>
    <t>Плиты из минеральной ваты на синтетическом связующем М-125 (ГОСТ 9573-96)</t>
  </si>
  <si>
    <t>м3</t>
  </si>
  <si>
    <t>ФЕР12-01-013-04
ПЗ=3
ОЗП=3
ЭМ=3
ЗПМ=3
МАТ=3
ТЗ=3
ТЗМ=3</t>
  </si>
  <si>
    <t>13255,98
1005,96</t>
  </si>
  <si>
    <t>379,65
22,29</t>
  </si>
  <si>
    <t>17669
1892</t>
  </si>
  <si>
    <t>105,78
1,65</t>
  </si>
  <si>
    <t>437,06
6,82</t>
  </si>
  <si>
    <t>КОЭФ. К ПОЗИЦИИ:
Всего толщ. 200 мм ПЗ=3 (ОЗП=3; ЭМ=3 к расх.; ЗПМ=3; МАТ=3 к расх.; ТЗ=3; ТЗМ=3)</t>
  </si>
  <si>
    <t>Утепление покрытий плитами: на каждый последующий слой добавлять к расценке 12-01-013-03</t>
  </si>
  <si>
    <t>ФЕР12-01-013-04
ПЗ=2
ОЗП=2
ЭМ=2
ЗПМ=2
МАТ=2
ТЗ=2
ТЗМ=2</t>
  </si>
  <si>
    <t>8837,32
670,64</t>
  </si>
  <si>
    <t>253,1
14,86</t>
  </si>
  <si>
    <t>2937
313</t>
  </si>
  <si>
    <t>70,52
1,1</t>
  </si>
  <si>
    <t>72,64
1,13</t>
  </si>
  <si>
    <t>Утепление покрытий плитами: на каждый последующий слой добавлять к расценке 12-01-013-03 дополнительный слой по периметру</t>
  </si>
  <si>
    <t>ТССЦ-104-9100-91004</t>
  </si>
  <si>
    <t>95,687
(82,6+10,3)*1,03</t>
  </si>
  <si>
    <t>Плиты теплоизоляционные энергетические гидрофобизированные базальтовые: ПТЭ-125 , размером 2000х1000х50 мм 3828,81/5,58=686,17</t>
  </si>
  <si>
    <t>ТССЦ-104-9221-90001</t>
  </si>
  <si>
    <t>Изоспан: Защитный материал марки А 19,42/5,58=3,48</t>
  </si>
  <si>
    <t>ФЕР10-01-023-01</t>
  </si>
  <si>
    <t>1051,44
31,84</t>
  </si>
  <si>
    <t>12,45
1,08</t>
  </si>
  <si>
    <t>10.54. Укладка ходовых досок: ОЗП=16,45; ЭМ=10,88; ЗПМ=16,45; МАТ=5,34</t>
  </si>
  <si>
    <t>3,8
0,08</t>
  </si>
  <si>
    <t>1,25
0,03</t>
  </si>
  <si>
    <t>Укладка ходовых досок</t>
  </si>
  <si>
    <t>100 м ходов</t>
  </si>
  <si>
    <t>ФССЦ-102-0077</t>
  </si>
  <si>
    <t>Доски необрезные хвойных пород длиной: 4-6,5 м, все ширины, толщиной 32-40 мм, III сорта; МАТ=5,359</t>
  </si>
  <si>
    <t>Доски необрезные хвойных пород длиной: 4-6,5 м, все ширины, толщиной 32-40 мм, III сорта добор до проектного объема</t>
  </si>
  <si>
    <t>ФЕР10-01-053-01
прим. лесница к слуховым окнам</t>
  </si>
  <si>
    <t>2855,67
414,9</t>
  </si>
  <si>
    <t>35,97
1,89</t>
  </si>
  <si>
    <t>10.128 Установка каркаса из брусьев для навесов и крылец: ОЗП=16,45; ЭМ=10,81; ЗПМ=16,45; МАТ=2,88</t>
  </si>
  <si>
    <t>42,51
0,14</t>
  </si>
  <si>
    <t>4,25
0,01</t>
  </si>
  <si>
    <t>Установка каркаса из брусьев для навесов и крылец</t>
  </si>
  <si>
    <t>ФЕР09-06-001-01</t>
  </si>
  <si>
    <t>931,53
763,35</t>
  </si>
  <si>
    <t>131,61
6,62</t>
  </si>
  <si>
    <t>9.75 Монтаж дверей, люков, подвесных путей из полосовой стали и труб; лотков решеток, стеллажей из стали различного профиля: ОЗП=16,45; ЭМ=8,39; ЗПМ=16,45; МАТ=5,35</t>
  </si>
  <si>
    <t>218
16</t>
  </si>
  <si>
    <t>89,49
0,49</t>
  </si>
  <si>
    <t>14,32
0,08</t>
  </si>
  <si>
    <t>НР 69%=90%*(0,85*0,9) от ФОТ</t>
  </si>
  <si>
    <t>СП 58%=85%*(0,8*0,85) от ФОТ</t>
  </si>
  <si>
    <t>Монтаж: конструкций дверей, люков, лазов для автокоптилок и пароварочных камер</t>
  </si>
  <si>
    <t>1 т конструкций</t>
  </si>
  <si>
    <t>ТССЦ-301-0271-00025</t>
  </si>
  <si>
    <t>Люки противопожарные: ЛПМ 01/60, 900х1100 мм  вес люка 80 кг. 9521,46/5,58=1706,35</t>
  </si>
  <si>
    <t>шт.</t>
  </si>
  <si>
    <t>2581
263</t>
  </si>
  <si>
    <t>1279,73
19,47</t>
  </si>
  <si>
    <t>Итого прямые затраты по разделу с учетом коэффициентов к итогам</t>
  </si>
  <si>
    <t>3481
330</t>
  </si>
  <si>
    <t>1465,5
24,35</t>
  </si>
  <si>
    <t xml:space="preserve">  В том числе, справочно: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</si>
  <si>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12, 15-16, 20, 26, 30, 38, 40-41)</t>
  </si>
  <si>
    <t>900
66</t>
  </si>
  <si>
    <t>185,754
4,8675</t>
  </si>
  <si>
    <t>38138
5428</t>
  </si>
  <si>
    <t>Итого по разделу 2 Чердак</t>
  </si>
  <si>
    <t xml:space="preserve">                           Раздел 3. Крыша</t>
  </si>
  <si>
    <t>ФЕРр58-5-1
поз. 4, 6, 6/1</t>
  </si>
  <si>
    <t>3598,85
340,09</t>
  </si>
  <si>
    <t>84.5 Ремонт деревянных элементов конструкций крыш: укрепление стропильных ног расшивкой досками с двух сторон: ОЗП=16,45; ЭМ=11,19; ЗПМ=16,45; МАТ=3,99</t>
  </si>
  <si>
    <t>Ремонт деревянных элементов конструкций крыш: укрепление стропильных ног расшивкой досками с двух сторон</t>
  </si>
  <si>
    <t>100 м</t>
  </si>
  <si>
    <t>ФЕРр58-5-4
поз. 4, 6, 6/1</t>
  </si>
  <si>
    <t>2722,57
1136,62</t>
  </si>
  <si>
    <t>84.8 Ремонт деревянных элементов конструкций крыш: смена стропильных ног из досок: ОЗП=16,45; ЭМ=11,08; ЗПМ=16,45; МАТ=3,86</t>
  </si>
  <si>
    <t>Ремонт деревянных элементов конструкций крыш: смена стропильных ног из досок</t>
  </si>
  <si>
    <t>ФЕРр58-5-6
поз. 4, 6, 6/1</t>
  </si>
  <si>
    <t>79,7
11,9</t>
  </si>
  <si>
    <t>84.10 Ремонт деревянных элементов конструкций крыш: выправка деревянных стропильных ног с постановкой раскосов: ОЗП=16,45; ЭМ=11,18; ЗПМ=16,45; МАТ=3,68</t>
  </si>
  <si>
    <t>Ремонт деревянных элементов конструкций крыш: выправка деревянных стропильных ног с постановкой раскосов</t>
  </si>
  <si>
    <t>1 шт.</t>
  </si>
  <si>
    <t>ФЕР10-01-002-01
поз.5,7</t>
  </si>
  <si>
    <t>2300,67
200,19</t>
  </si>
  <si>
    <t>38,22
2,03</t>
  </si>
  <si>
    <t>10.4. Установка стропил: ОЗП=16,45; ЭМ=10,79; ЗПМ=16,45; МАТ=3,71</t>
  </si>
  <si>
    <t>1413
132</t>
  </si>
  <si>
    <t>24,09
0,15</t>
  </si>
  <si>
    <t>66,49
0,41</t>
  </si>
  <si>
    <t>Установка стропил с кобылками</t>
  </si>
  <si>
    <t>1 м3 древесины в конструкции</t>
  </si>
  <si>
    <t>ФЕР10-01-010-01
поз. 1,2,3,8,9,10</t>
  </si>
  <si>
    <t>2411,06
188,55</t>
  </si>
  <si>
    <t>10.18. Установка деревянных элементов каркаса: ОЗП=16,45; ЭМ=11,08; ЗПМ=16,45; МАТ=3,37</t>
  </si>
  <si>
    <t>Установка элементов каркаса: из брусьев</t>
  </si>
  <si>
    <t>ФЕРр58-12-1</t>
  </si>
  <si>
    <t>2492,19
252,73</t>
  </si>
  <si>
    <t>40,78
5,94</t>
  </si>
  <si>
    <t>84.30 Устройство обрешетки сплошной из досок: ОЗП=16,45; ЭМ=10; ЗПМ=16,45; МАТ=5,51</t>
  </si>
  <si>
    <t>1440
345</t>
  </si>
  <si>
    <t>31,83
0,44</t>
  </si>
  <si>
    <t>112,4
1,55</t>
  </si>
  <si>
    <t>Устройство обрешетки сплошной из досок</t>
  </si>
  <si>
    <t>ФССЦ-102-0052</t>
  </si>
  <si>
    <t>Доски обрезные хвойных пород длиной: 4-6,5 м, шириной 75-150 мм, толщиной 25 мм, II сорта; МАТ=3,99</t>
  </si>
  <si>
    <t>Доски обрезные хвойных пород длиной: 4-6,5 м, шириной 75-150 мм, толщиной 25 мм, II сорта</t>
  </si>
  <si>
    <t>ФЕРр58-12-2</t>
  </si>
  <si>
    <t>1766,82
169,52</t>
  </si>
  <si>
    <t>26,57
4,32</t>
  </si>
  <si>
    <t>84.31 Устройство обрешетки с прозорами из досок и брусков под кровлю: из листовой стали: ОЗП=16,45; ЭМ=9,83; ЗПМ=16,45; МАТ=5,25</t>
  </si>
  <si>
    <t>659
181</t>
  </si>
  <si>
    <t>21,35
0,32</t>
  </si>
  <si>
    <t>53,84
0,81</t>
  </si>
  <si>
    <t>Устройство обрешетки с прозорами из досок и брусков под кровлю: из листовой стали</t>
  </si>
  <si>
    <t>ФССЦ-102-0056</t>
  </si>
  <si>
    <t>Доски обрезные хвойных пород длиной: 4-6,5 м, шириной 75-150 мм, толщиной 32-40 мм, II сорта; МАТ=3,836</t>
  </si>
  <si>
    <t>Доски обрезные хвойных пород длиной: 4-6,5 м, шириной 75-150 мм, толщиной 32-40 мм, II сорта</t>
  </si>
  <si>
    <t>ФЕР10-01-008-05</t>
  </si>
  <si>
    <t>5313,53
1219,79</t>
  </si>
  <si>
    <t>Устройство: карнизов</t>
  </si>
  <si>
    <t>ТССЦ-104-9221-90004</t>
  </si>
  <si>
    <t>Изоспан: Защитный материал марки D  18,31/5,58=3,28</t>
  </si>
  <si>
    <t>ФЕР10-01-003-01</t>
  </si>
  <si>
    <t>378,81
56,55</t>
  </si>
  <si>
    <t>22,06
1,49</t>
  </si>
  <si>
    <t>10.5. Устройство слуховых окон: ОЗП=16,45; ЭМ=10,98; ЗПМ=16,45; МАТ=5,3</t>
  </si>
  <si>
    <t>604
66</t>
  </si>
  <si>
    <t>6,63
0,11</t>
  </si>
  <si>
    <t>13,26
0,22</t>
  </si>
  <si>
    <t>Устройство слуховых окон</t>
  </si>
  <si>
    <t>1 слуховое окно</t>
  </si>
  <si>
    <t>ФССЦ-101-2007</t>
  </si>
  <si>
    <t>Петли форточные накладные размером 70x55 мм; МАТ=2,337</t>
  </si>
  <si>
    <t>Петли форточные накладные размером 70х55 мм</t>
  </si>
  <si>
    <t>компл.</t>
  </si>
  <si>
    <t>ФССЦ-101-2001</t>
  </si>
  <si>
    <t>Шпингалеты дверные размером 230x26 мм, оцинкованные или окрашенные; МАТ=1,941</t>
  </si>
  <si>
    <t>Шпингалеты дверные размером 230х26 мм, оцинкованные или окрашенные</t>
  </si>
  <si>
    <t>ФЕР26-02-018-02</t>
  </si>
  <si>
    <t>159,27
83,38</t>
  </si>
  <si>
    <t>74,06
1,04</t>
  </si>
  <si>
    <t>26.104 Огнебиозащитное покрытие деревянных конструкций составами 'Пирилакс' (любой модификации): ОЗП=16,45; ЭМ=11,16; ЗПМ=16,45; МАТ=19,16</t>
  </si>
  <si>
    <t>13013
263</t>
  </si>
  <si>
    <t>8,87
0,09</t>
  </si>
  <si>
    <t>111,76
1,13</t>
  </si>
  <si>
    <t>НР 77%=100%*(0,85*0,9) от ФОТ</t>
  </si>
  <si>
    <t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второй группы огнезащитной эффективности по НПБ251</t>
  </si>
  <si>
    <t>100 м2 обрабатываемой поверхности</t>
  </si>
  <si>
    <t>ФССЦ-113-8070</t>
  </si>
  <si>
    <t>Антисептик-антипирен «ПИРИЛАКС-ТЕРМА» для древесины; МАТ=10,697</t>
  </si>
  <si>
    <t>Антисептик-антипирен «ПИРИЛАКС-ТЕРМА» для древесины</t>
  </si>
  <si>
    <t>кг</t>
  </si>
  <si>
    <t>ФЕР12-01-023-02</t>
  </si>
  <si>
    <t>10417,47
356,23</t>
  </si>
  <si>
    <t>115,24
10,67</t>
  </si>
  <si>
    <t>12.51. Устройство кровли из металлочерепицы (с отделочным покрытием): ОЗП=16,45; ЭМ=11,1; ЗПМ=16,45; МАТ=3,6</t>
  </si>
  <si>
    <t>9380
1300</t>
  </si>
  <si>
    <t>41,23
0,79</t>
  </si>
  <si>
    <t>242,02
4,64</t>
  </si>
  <si>
    <t>Устройство кровли из металлочерепицы по готовым прогонам: средней сложности</t>
  </si>
  <si>
    <t>ФССЦ-101-4136</t>
  </si>
  <si>
    <t>Металлочерепица «Монтеррей»; МАТ=3,818</t>
  </si>
  <si>
    <t>Металлочерепица «Монтеррей»</t>
  </si>
  <si>
    <t>ФССЦ-101-3845</t>
  </si>
  <si>
    <t>5,35931
587*8,3*1,1/1000</t>
  </si>
  <si>
    <t>Профилированный лист оцинкованный: НС44-1000-0,7; МАТ=4,286</t>
  </si>
  <si>
    <t>Профилированный лист оцинкованный: НС44-1000-0,7</t>
  </si>
  <si>
    <t>ФССЦ-101-4128</t>
  </si>
  <si>
    <t>Дополнительные элементы металлочерепичной кровли: заглушка коньковая из оцинкованной стали; МАТ=4,949</t>
  </si>
  <si>
    <t>Дополнительные элементы металлочерепичной кровли: коньковый элемент, разжелобки, профили с покрытием</t>
  </si>
  <si>
    <t>ФССЦ-101-4127</t>
  </si>
  <si>
    <t>Дополнительные элементы металлочерепичной кровли: заглушка коньковая из оцинкованной стали</t>
  </si>
  <si>
    <t>ФЕР09-05-006-01</t>
  </si>
  <si>
    <t>3,6
3,05</t>
  </si>
  <si>
    <t>9.74 Резка стального профилированного настила: ОЗП=16,45; ЭМ=2,22; ЗПМ=16,45</t>
  </si>
  <si>
    <t>Резка стального профилированного настила</t>
  </si>
  <si>
    <t>1 м реза</t>
  </si>
  <si>
    <t>ФЕР12-01-010-01</t>
  </si>
  <si>
    <t>9875,72
961,76</t>
  </si>
  <si>
    <t>23,38
2,7</t>
  </si>
  <si>
    <t>12.27. Устройство мелких покрытий (брандмауэры, парапеты, свесы и т.п.) из листовой оцинкованной стали: ОЗП=16,45; ЭМ=11,87; ЗПМ=16,45; МАТ=3,66</t>
  </si>
  <si>
    <t>344
66</t>
  </si>
  <si>
    <t>112,75
0,2</t>
  </si>
  <si>
    <t>112,86
0,2</t>
  </si>
  <si>
    <t>Устройство мелких покрытий (брандмауэры, парапеты, свесы и т.п.) из листовой оцинкованной стали</t>
  </si>
  <si>
    <t>ФЕР12-01-012-01</t>
  </si>
  <si>
    <t>3147,39
59,1</t>
  </si>
  <si>
    <t>55,38
3,92</t>
  </si>
  <si>
    <t>12.29. Ограждение кровель перилами: ОЗП=16,45; ЭМ=9,92; ЗПМ=16,45; МАТ=7,67</t>
  </si>
  <si>
    <t>774
82</t>
  </si>
  <si>
    <t>6,67
0,29</t>
  </si>
  <si>
    <t>7,5
0,33</t>
  </si>
  <si>
    <t>Ограждение кровель перилами</t>
  </si>
  <si>
    <t>100 м ограждения</t>
  </si>
  <si>
    <t>ФССЦ-201-0777</t>
  </si>
  <si>
    <t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МАТ=7,691</t>
  </si>
  <si>
    <t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 добор до проектного объема</t>
  </si>
  <si>
    <t>536
66</t>
  </si>
  <si>
    <t>5,2
0,23</t>
  </si>
  <si>
    <t>Снегозадержатели</t>
  </si>
  <si>
    <t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</t>
  </si>
  <si>
    <t>Прайс  МеталлПрофиль</t>
  </si>
  <si>
    <t>Снегозадержатель длиной 3000 мм 1800/1,18/3/5,58=91,12</t>
  </si>
  <si>
    <t>м</t>
  </si>
  <si>
    <t>149
16</t>
  </si>
  <si>
    <t>1,4
0,06</t>
  </si>
  <si>
    <t>Страховочный трос</t>
  </si>
  <si>
    <t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</t>
  </si>
  <si>
    <t>ФССЦ-509-0801</t>
  </si>
  <si>
    <t>Трос стальной; МАТ=6,918</t>
  </si>
  <si>
    <t>Трос стальной</t>
  </si>
  <si>
    <t>ФССЦ-201-0778</t>
  </si>
  <si>
    <t>0,00063
0,00009*7</t>
  </si>
  <si>
    <t>Прочие индивидуальные сварные конструкции, масса сборочной единицы до 0,1 т</t>
  </si>
  <si>
    <t>0,8
0,03</t>
  </si>
  <si>
    <t>Устройство переходных лестниц  на кровле</t>
  </si>
  <si>
    <t>Лестница кровельная длиной 1860 мм 2200/1,18/1,86/5,58=179,64</t>
  </si>
  <si>
    <t>0,025
0,0125*2</t>
  </si>
  <si>
    <t>0,17
0,01</t>
  </si>
  <si>
    <t>Устройство переходных мостиков  на кровле</t>
  </si>
  <si>
    <t>Прайс  Руффо</t>
  </si>
  <si>
    <t>Переходный мостик 1250 мм 2250/1,18/5,58=341,72</t>
  </si>
  <si>
    <t>шт</t>
  </si>
  <si>
    <t>ФЕР13-03-002-04</t>
  </si>
  <si>
    <t>268,7
56,55</t>
  </si>
  <si>
    <t>9,43
0,1</t>
  </si>
  <si>
    <t>13.39. Огрунтовка металлических поверхностей за один раз: грунтовкой ГФ-021: ОЗП=16,45; ЭМ=10,81; ЗПМ=16,45; МАТ=4,27</t>
  </si>
  <si>
    <t>5,31
0,01</t>
  </si>
  <si>
    <t>Огрунтовка металлических поверхностей за один раз: грунтовкой ГФ-021</t>
  </si>
  <si>
    <t>100 м2 окрашиваемой поверхности</t>
  </si>
  <si>
    <t>ФЕР13-03-004-26
ПЗ=2
ОЗП=2
ЭМ=2
ЗПМ=2
МАТ=2
ТЗ=2
ТЗМ=2</t>
  </si>
  <si>
    <t>644,48
69,48</t>
  </si>
  <si>
    <t>12,44
0,2</t>
  </si>
  <si>
    <t>13.100 Окраска металлических огрунтованных поверхностей: эмалью ПФ-115: ОЗП=16,45; ЭМ=10,62; ЗПМ=16,45; МАТ=4,94</t>
  </si>
  <si>
    <t>7,66
0,02</t>
  </si>
  <si>
    <t>2,38
0,01</t>
  </si>
  <si>
    <t>КОЭФ. К ПОЗИЦИИ:
За 2 раза ПЗ=2 (ОЗП=2; ЭМ=2 к расх.; ЗПМ=2; МАТ=2 к расх.; ТЗ=2; ТЗМ=2)</t>
  </si>
  <si>
    <t>Окраска металлических огрунтованных поверхностей: эмалью ПФ-115</t>
  </si>
  <si>
    <t>2849
128</t>
  </si>
  <si>
    <t>1147,6
9,63</t>
  </si>
  <si>
    <t>3382
153</t>
  </si>
  <si>
    <t>1269,84
11,45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</si>
  <si>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46-47, 52, 56, 59, 61, 67-68, 70, 73, 77, 80, 66, 83-84)</t>
  </si>
  <si>
    <t>533
24</t>
  </si>
  <si>
    <t>122,253
1,8175</t>
  </si>
  <si>
    <t>36839
2518</t>
  </si>
  <si>
    <t>Итого по разделу 3 Крыша</t>
  </si>
  <si>
    <t xml:space="preserve">                           Раздел 4. Вентиляционные шахты</t>
  </si>
  <si>
    <t>ФЕР08-02-001-09</t>
  </si>
  <si>
    <t>913,25
58,83</t>
  </si>
  <si>
    <t>31,1
4,86</t>
  </si>
  <si>
    <t>2705
576</t>
  </si>
  <si>
    <t>7,08
0,36</t>
  </si>
  <si>
    <t>40,92
2,08</t>
  </si>
  <si>
    <t>Кладка стен приямков и каналов</t>
  </si>
  <si>
    <t>ФЕР08-02-007-01</t>
  </si>
  <si>
    <t>7752,91
506,02</t>
  </si>
  <si>
    <t>46,89
3,11</t>
  </si>
  <si>
    <t>8.21. Армирование кладки стен и других конструкций: ОЗП=16,45; ЭМ=11,68; ЗПМ=16,45; МАТ=4,33</t>
  </si>
  <si>
    <t>63,73
0,23</t>
  </si>
  <si>
    <t>2,87
0,01</t>
  </si>
  <si>
    <t>Армирование кладки стен и других конструкций</t>
  </si>
  <si>
    <t>1 т металлических изделий</t>
  </si>
  <si>
    <t>ФЕР07-01-044-04</t>
  </si>
  <si>
    <t>10901,9
320,59</t>
  </si>
  <si>
    <t>7.31. Установка стальных крепежных элементов: ОЗП=16,45; ЭМ=7,62; ЗПМ=16,45; МАТ=6,71</t>
  </si>
  <si>
    <t>НР 99%=130%*(0,85*0,9) от ФОТ</t>
  </si>
  <si>
    <t>Установка обрамления воздухозаборной шахты</t>
  </si>
  <si>
    <t>1 т стальных элементов</t>
  </si>
  <si>
    <t>12.39. Устройство пароизоляции: прокладочной: ОЗП=16,45; ЭМ=9,1; ЗПМ=16,45; МАТ=5,2</t>
  </si>
  <si>
    <t>ФЕР26-01-036-01</t>
  </si>
  <si>
    <t>247,16
132,33</t>
  </si>
  <si>
    <t>9,38
0,41</t>
  </si>
  <si>
    <t>26.40 Изоляция изделиями из волокнистых и зернистых материалов с креплением на клее и дюбелями холодных поверхностей: наружных стен: ОЗП=16,45; ЭМ=9,37; ЗПМ=16,45; МАТ=1,42</t>
  </si>
  <si>
    <t>216
16</t>
  </si>
  <si>
    <t>16,06
0,03</t>
  </si>
  <si>
    <t>30,19
0,06</t>
  </si>
  <si>
    <t>Изоляция изделиями из волокнистых и зернистых материалов с креплением на клее и дюбелями холодных поверхностей: наружных стен</t>
  </si>
  <si>
    <t>100 м2 поверхности</t>
  </si>
  <si>
    <t>1,9364
1,88*1,03</t>
  </si>
  <si>
    <t>ФЕР10-01-008-08</t>
  </si>
  <si>
    <t>6989,42
275,22</t>
  </si>
  <si>
    <t>10.15. Обивка стен кровельной сталью: оцинкованной по войлоку: ОЗП=16,45; ЭМ=11,42; ЗПМ=16,45; МАТ=3,44</t>
  </si>
  <si>
    <t>Обивка стен кровельной сталью: оцинкованной по войлоку под кровлей</t>
  </si>
  <si>
    <t>ФССЦ-101-1704</t>
  </si>
  <si>
    <t>Войлок строительный; МАТ=2,702</t>
  </si>
  <si>
    <t>Войлок строительный</t>
  </si>
  <si>
    <t>71
16</t>
  </si>
  <si>
    <t>23,44
0,04</t>
  </si>
  <si>
    <t>ФЕР20-02-010-06</t>
  </si>
  <si>
    <t>33,93
20,11</t>
  </si>
  <si>
    <t>5,74
0,14</t>
  </si>
  <si>
    <t>20.25 Установка зонтов над шахтами из листовой и оцинкованной стали: ОЗП=16,45; ЭМ=7,42; ЗПМ=16,45; МАТ=5,89</t>
  </si>
  <si>
    <t>2,27
0,01</t>
  </si>
  <si>
    <t>4,54
0,02</t>
  </si>
  <si>
    <t>Установка зонтов над шахтами из листовой стали прямоугольного сечения периметром : 3200 мм</t>
  </si>
  <si>
    <t>1 зонт</t>
  </si>
  <si>
    <t>ФССЦ-301-0293</t>
  </si>
  <si>
    <t>Зонты вентиляционных систем из листовой оцинкованной стали, прямоугольные, периметром шахты 3200 мм; МАТ=5,73</t>
  </si>
  <si>
    <t>Зонты вентиляционных систем из листовой оцинкованной стали: прямоугольные, периметром шахты 3200 мм</t>
  </si>
  <si>
    <t>ФЕР20-02-010-04</t>
  </si>
  <si>
    <t>19,11
10,63</t>
  </si>
  <si>
    <t>Установка зонтов над шахтами из листовой стали прямоугольного сечения периметром : 2000 мм</t>
  </si>
  <si>
    <t>ФССЦ-301-0291</t>
  </si>
  <si>
    <t>Зонты вентиляционных систем из листовой оцинкованной стали, прямоугольные, периметром шахты 2000 мм; МАТ=4,398</t>
  </si>
  <si>
    <t>Зонты вентиляционных систем из листовой оцинкованной стали: прямоугольные, периметром шахты 2000 мм</t>
  </si>
  <si>
    <t>258
30</t>
  </si>
  <si>
    <t>120,17
2,21</t>
  </si>
  <si>
    <t>324
37</t>
  </si>
  <si>
    <t>138,12
2,77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</si>
  <si>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85-87, 91, 93, 95-96, 98)</t>
  </si>
  <si>
    <t>64
8</t>
  </si>
  <si>
    <t>17,9385
0,5525</t>
  </si>
  <si>
    <t>3564
608</t>
  </si>
  <si>
    <t>Итого по разделу 4 Вентиляционные шахты</t>
  </si>
  <si>
    <t xml:space="preserve">                           Раздел 5. Утепление фановых труб - 5 шт</t>
  </si>
  <si>
    <t>ФЕР16-04-001-02</t>
  </si>
  <si>
    <t>0,21
0,042*5</t>
  </si>
  <si>
    <t>7784,49
611,07</t>
  </si>
  <si>
    <t>6,58
0,68</t>
  </si>
  <si>
    <t>61,6
0,05</t>
  </si>
  <si>
    <t>12,94
0,01</t>
  </si>
  <si>
    <t>Прокладка трубопроводов канализации из полиэтиленовых труб высокой плотности диаметром: 110 мм</t>
  </si>
  <si>
    <t>ФЕР26-01-055-02</t>
  </si>
  <si>
    <t>0,0553
0,01106*5</t>
  </si>
  <si>
    <t>1532,98
125,51</t>
  </si>
  <si>
    <t>26.74 Установка пароизоляционного слоя из пленки полиэтиленовой: ОЗП=16,45; ЭМ=11,42; ЗПМ=16,45; МАТ=1,92</t>
  </si>
  <si>
    <t>Установка пароизоляционного слоя из: пленки полиэтиленовой (без стекловолокнистых материалов)</t>
  </si>
  <si>
    <t>100 м2 поверхности покрытия изоляции</t>
  </si>
  <si>
    <t>ФССЦ-113-1952</t>
  </si>
  <si>
    <t>Пленка полиэтиленовая толщиной 0,2-0,5 мм, изоловая; МАТ=1,221</t>
  </si>
  <si>
    <t>Пленка полиэтиленовая толщиной: 0,2-0,5 мм, изоловая</t>
  </si>
  <si>
    <t>Изоспан: Двухслойная паропроницаемая мембрана марки В 13,90/5,58=2,49</t>
  </si>
  <si>
    <t>ФЕР26-01-009-01</t>
  </si>
  <si>
    <t>0,56
0,112*5</t>
  </si>
  <si>
    <t>1562,09
183,98</t>
  </si>
  <si>
    <t>26.13. Изоляция трубопроводов: матами минераловатными марок 75, 100, плитами минераловатными на синтетическом связующем марки 75: ОЗП=16,45; ЭМ=11,33; ЗПМ=16,45; МАТ=3,45</t>
  </si>
  <si>
    <t>Изоляция трубопроводов: матами минераловатными марок 75, 100, плитами минераловатными на синтетическом связующем марки 75</t>
  </si>
  <si>
    <t>1 м3 изоляции</t>
  </si>
  <si>
    <t>ФССЦ-104-0009</t>
  </si>
  <si>
    <t>Маты прошивные из минеральной ваты:без обкладок М-100, толщина 60 мм; МАТ=3,423</t>
  </si>
  <si>
    <t>Маты прошивные из минеральной ваты: без обкладок М-100, толщина 60 мм</t>
  </si>
  <si>
    <t>ТССЦ-104-9242-90005</t>
  </si>
  <si>
    <t>11,536
11,2*1,03</t>
  </si>
  <si>
    <t>Утеплитель URSA: М 15, толщиной 50 мм 64,28/5,58=11,52</t>
  </si>
  <si>
    <t>ФЕР26-01-054-01
ПЗ=2
ОЗП=2
ЭМ=2
ЗПМ=2
МАТ=2*0
ТЗ=2
ТЗМ=2</t>
  </si>
  <si>
    <t>653,8
552,62</t>
  </si>
  <si>
    <t>26.71 Обертывание поверхности изоляции рулонными материалами насухо с проклейкой швов: ОЗП=16,45; ЭМ=10,4; ЗПМ=16,45; МАТ=9,73</t>
  </si>
  <si>
    <t>КОЭФ. К ПОЗИЦИИ:
В 2 слоя ПЗ=2 (ОЗП=2; ЭМ=2 к расх.; ЗПМ=2; МАТ=2 к расх.; ТЗ=2; ТЗМ=2);
материалы МАТ=0 к расх.</t>
  </si>
  <si>
    <t>Обертывание поверхности изоляции рулонными материалами насухо с проклейкой швов</t>
  </si>
  <si>
    <t>ФССЦ-104-0090</t>
  </si>
  <si>
    <t>0,034265
0,03115*1,1</t>
  </si>
  <si>
    <t>Ткань стеклянная конструкционная марки:Т-13; МАТ=2,215</t>
  </si>
  <si>
    <t>Ткань стеклянная конструкционная марки: Т-13</t>
  </si>
  <si>
    <t>1000 м2</t>
  </si>
  <si>
    <t>ФЕР26-01-049-02</t>
  </si>
  <si>
    <t>0,2185
0,0437*5</t>
  </si>
  <si>
    <t>15140,9
1449,56</t>
  </si>
  <si>
    <t>26.63 Покрытие поверхности изоляции трубопроводов: сталью оцинкованной: ОЗП=16,45; ЭМ=7,81; ЗПМ=16,45; МАТ=4,07</t>
  </si>
  <si>
    <t>Покрытие поверхности изоляции трубопроводов: сталью оцинкованной</t>
  </si>
  <si>
    <t>66,7
0,01</t>
  </si>
  <si>
    <t>76,7
0,01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</si>
  <si>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100-101, 104, 107, 109)</t>
  </si>
  <si>
    <t>10,005
0,0025</t>
  </si>
  <si>
    <t>Итого по разделу 5 Утепление фановых труб - 5 шт</t>
  </si>
  <si>
    <t xml:space="preserve">                           Раздел 6. Монтажные работы</t>
  </si>
  <si>
    <t>ФЕРм08-02-472-08</t>
  </si>
  <si>
    <t>541,57
188,94</t>
  </si>
  <si>
    <t>51,62
1,49</t>
  </si>
  <si>
    <t>55.350 Проводник заземляющий открыто по строительным основаниям: ОЗП=16,45; ЭМ=8,32; ЗПМ=16,45; МАТ=3,63</t>
  </si>
  <si>
    <t>724
49</t>
  </si>
  <si>
    <t>20,1
0,11</t>
  </si>
  <si>
    <t>34,05
0,19</t>
  </si>
  <si>
    <t>НР 81%=95%*0,85 от ФОТ</t>
  </si>
  <si>
    <t>Проводник заземляющий открыто по строительным основаниям: из круглой стали диаметром 8 мм</t>
  </si>
  <si>
    <t>4,98
0,03</t>
  </si>
  <si>
    <t>ФССЦ-101-1627</t>
  </si>
  <si>
    <t>-0,07768
-0,00992-0,06776</t>
  </si>
  <si>
    <t>Сталь листовая углеродистая обыкновенного качества марки ВСт3пс5 толщиной:4-6 мм; МАТ=5,264</t>
  </si>
  <si>
    <t>Сталь листовая углеродистая обыкновенного качества марки ВСт3пс5 толщиной: 4-6 мм</t>
  </si>
  <si>
    <t>ФССЦ-101-1613</t>
  </si>
  <si>
    <t>0,07663
0,0098+0,06683</t>
  </si>
  <si>
    <t>Сталь круглая углеродистая обыкновенного качества марки ВСт3пс5-1 диаметром:8 мм; МАТ=5,541</t>
  </si>
  <si>
    <t>Сталь круглая углеродистая обыкновенного качества марки ВСт3пс5-1 диаметром: 8 мм</t>
  </si>
  <si>
    <t>ФЕРм08-02-472-05</t>
  </si>
  <si>
    <t>388,72
167,32</t>
  </si>
  <si>
    <t>180,24
7,43</t>
  </si>
  <si>
    <t>55.349 Проводник заземляющий скрыто в подливке пола из стали: ОЗП=16,45; ЭМ=8,57; ЗПМ=16,45; МАТ=3,65</t>
  </si>
  <si>
    <t>2202
181</t>
  </si>
  <si>
    <t>17,8
0,55</t>
  </si>
  <si>
    <t>25,42
0,79</t>
  </si>
  <si>
    <t>Проводник заземляющий скрыто в земле из стали: круглой диаметром 16 мм</t>
  </si>
  <si>
    <t>ФССЦ-101-1619</t>
  </si>
  <si>
    <t>Сталь круглая углеродистая обыкновенного качества марки ВСт3пс5-1 диаметром 18 мм; МАТ=5,475</t>
  </si>
  <si>
    <t>Сталь круглая углеродистая обыкновенного качества марки ВСт3пс5-1 диаметром: 18 мм</t>
  </si>
  <si>
    <t>357
14</t>
  </si>
  <si>
    <t>64,45
1,01</t>
  </si>
  <si>
    <t>3034
230</t>
  </si>
  <si>
    <t>Итого по разделу 6 Монтажные работы</t>
  </si>
  <si>
    <t xml:space="preserve">                           Раздел 7. Строительные работы</t>
  </si>
  <si>
    <t>ФЕРр68-12-4</t>
  </si>
  <si>
    <t>6008,44
2022,24</t>
  </si>
  <si>
    <t>3986,2
423,83</t>
  </si>
  <si>
    <t>93.23 Разборка покрытий и оснований: асфальтобетонных с помощью молотков отбойных: ОЗП=16,45; ЭМ=8,84; ЗПМ=16,45</t>
  </si>
  <si>
    <t>4058
806</t>
  </si>
  <si>
    <t>243,35
41,39</t>
  </si>
  <si>
    <t>28,03
4,77</t>
  </si>
  <si>
    <t>НР 88%=104%*0,85 от ФОТ</t>
  </si>
  <si>
    <t>СП 48%=60%*0,8 от ФОТ</t>
  </si>
  <si>
    <t>Разборка покрытий и оснований: асфальтобетонных с помощью молотков отбойных</t>
  </si>
  <si>
    <t>100 м3 конструкций</t>
  </si>
  <si>
    <t>ФЕР01-01-009-23</t>
  </si>
  <si>
    <t>3717,53
615,96</t>
  </si>
  <si>
    <t>1.5. Разработка грунта в траншеях экскаваторами 'обратная лопата' с ковшом вместимостью 1; 0,65; 0,5; 0,4; 0,25 м3 в отвал; ЭМ=11,64; ЗПМ=16,45</t>
  </si>
  <si>
    <t>1292
313</t>
  </si>
  <si>
    <t xml:space="preserve">
53,1</t>
  </si>
  <si>
    <t xml:space="preserve">
1,27</t>
  </si>
  <si>
    <t>НР 73%=95%*(0,85*0,9) от ФОТ</t>
  </si>
  <si>
    <t>СП 34%=50%*(0,8*0,85) от ФОТ</t>
  </si>
  <si>
    <t>Разработка траншей экскаватором «обратная лопата» с ковшом вместимостью 0,25 м3, группа грунтов: 2</t>
  </si>
  <si>
    <t>1000 м3 грунта</t>
  </si>
  <si>
    <t>ФЕР01-02-057-02</t>
  </si>
  <si>
    <t>1201,2
1201,2</t>
  </si>
  <si>
    <t>1.181 Разработка грунта вручную в траншеях, копание ям вручную без креплений для стоек и столбов: ОЗП=16,45</t>
  </si>
  <si>
    <t>НР 61%=80%*(0,85*0,9) от ФОТ</t>
  </si>
  <si>
    <t>СП 31%=45%*(0,8*0,85) от ФОТ</t>
  </si>
  <si>
    <t>Разработка грунта вручную в траншеях глубиной до 2 м без креплений с откосами, группа грунтов: 2</t>
  </si>
  <si>
    <t>100 м3 грунта</t>
  </si>
  <si>
    <t>ФЕР01-02-061-02</t>
  </si>
  <si>
    <t>729
729</t>
  </si>
  <si>
    <t>1.183 Погрузка вручную неуплотненного мерзлого грунта в транспортные средства из штабелей и отвалов, засыпка вручную траншей, пазух котлованов и ям: ОЗП=16,45</t>
  </si>
  <si>
    <t>Засыпка вручную траншей, пазух котлованов и ям, группа грунтов: 2</t>
  </si>
  <si>
    <t>ФЕР27-04-001-02</t>
  </si>
  <si>
    <t>0,192
120*0,8*0,2/100</t>
  </si>
  <si>
    <t>2381,84
126,07</t>
  </si>
  <si>
    <t>2238,69
187,94</t>
  </si>
  <si>
    <t>27.40 Устройство подстилающих и выравнивающих слоев оснований: из песчано-гравийной смеси, дресвы: ОЗП=16,45; ЭМ=9,4; ЗПМ=16,45; МАТ=11,48</t>
  </si>
  <si>
    <t>5057
740</t>
  </si>
  <si>
    <t>15,72
14,81</t>
  </si>
  <si>
    <t>3,02
2,84</t>
  </si>
  <si>
    <t>НР 109%=142%*(0,85*0,9) от ФОТ</t>
  </si>
  <si>
    <t>СП 65%=95%*(0,8*0,85) от ФОТ</t>
  </si>
  <si>
    <t>Устройство подстилающих и выравнивающих слоев оснований: из песчано-гравийной смеси, дресвы</t>
  </si>
  <si>
    <t>100 м3 материала основания (в плотном теле)</t>
  </si>
  <si>
    <t>ФССЦ-408-0200</t>
  </si>
  <si>
    <t>23,424
19,2*1,22</t>
  </si>
  <si>
    <t>Смесь песчано-гравийная природная; МАТ=10,761</t>
  </si>
  <si>
    <t>Смесь песчано-гравийная природная</t>
  </si>
  <si>
    <t>ФЕР27-07-001-01</t>
  </si>
  <si>
    <t>3566,51
140,46</t>
  </si>
  <si>
    <t>57,68
0,57</t>
  </si>
  <si>
    <t>27.167 Устройство асфальтобетонных покрытий дорожек и тротуаров однослойных из литой мелкозернистой асфальтобетонной смеси: ОЗП=16,45; ЭМ=4,28; ЗПМ=16,45; МАТ=7,01</t>
  </si>
  <si>
    <t>295
16</t>
  </si>
  <si>
    <t>15,12
0,05</t>
  </si>
  <si>
    <t>14,52
0,05</t>
  </si>
  <si>
    <t>Устройство асфальтобетонных покрытий дорожек и тротуаров однослойных из литой мелкозернистой асфальтобетонной смеси толщиной 3 см</t>
  </si>
  <si>
    <t>ФЕР27-07-001-02
ПЗ=14
ОЗП=14
ЭМ=14
ЗПМ=14
МАТ=14
ТЗ=14
ТЗМ=14</t>
  </si>
  <si>
    <t>8133,58
301,7</t>
  </si>
  <si>
    <t>КОЭФ. К ПОЗИЦИИ:
Всего толщ. 10 см ПЗ=14 (ОЗП=14; ЭМ=14 к расх.; ЗПМ=14; МАТ=14 к расх.; ТЗ=14; ТЗМ=14)</t>
  </si>
  <si>
    <t>На каждые 0,5 см изменения толщины покрытия добавлять к расценке 27-07-001-01</t>
  </si>
  <si>
    <t>ФССЦ-410-0054</t>
  </si>
  <si>
    <t>Асфальт литой:для покрытий тротуаров тип II (жесткий); МАТ=6,823</t>
  </si>
  <si>
    <t>Асфальт литой: для покрытий тротуаров тип II (жесткий)</t>
  </si>
  <si>
    <t>ФССЦ-410-0005</t>
  </si>
  <si>
    <t>Смеси асфальтобетонные дорожные, аэродромные и асфальтобетон (горячие и теплые для плотного асфальтобетона мелко и крупнозернистые, песчаные), марка II тип А; МАТ=7,014</t>
  </si>
  <si>
    <t>Смеси асфальтобетонные дорожные, аэродромные и асфальтобетон (горячие для плотного асфальтобетона мелко и крупнозернистые, песчаные), марка: II, тип А</t>
  </si>
  <si>
    <t>1146
101</t>
  </si>
  <si>
    <t>115,15
8,93</t>
  </si>
  <si>
    <t>1318
114</t>
  </si>
  <si>
    <t>128,22
9,97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</si>
  <si>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117-120, 122-123)</t>
  </si>
  <si>
    <t>172
13</t>
  </si>
  <si>
    <t>13,068
1,04</t>
  </si>
  <si>
    <t>11305
1875</t>
  </si>
  <si>
    <t>Итого по разделу 7 Строительные работы</t>
  </si>
  <si>
    <t xml:space="preserve">                           Раздел 8. Вывоз мусора</t>
  </si>
  <si>
    <t>ФССЦпг01-01-01-041</t>
  </si>
  <si>
    <t>42,98
42,98</t>
  </si>
  <si>
    <t>Мусор строительный, вручную: погрузка: ОЗП=10,64</t>
  </si>
  <si>
    <t xml:space="preserve">НР 0% от </t>
  </si>
  <si>
    <t xml:space="preserve">СП 0% от </t>
  </si>
  <si>
    <t>Погрузочные работы при автомобильных перевозках: мусора строительного с погрузкой вручную</t>
  </si>
  <si>
    <t>1 т груза</t>
  </si>
  <si>
    <t>ФССЦпг01-01-01-045</t>
  </si>
  <si>
    <t>Прочие материалы, конструкции и детали (с использованием погрузчика): погрузка; ЭМ=11,14</t>
  </si>
  <si>
    <t>Погрузочные работы при автомобильных перевозках: прочих материалов, деталей (с использованием погрузчика)</t>
  </si>
  <si>
    <t>ФССЦпг03-21-01-015</t>
  </si>
  <si>
    <t>Перевозка грузов автомобилями-самосвалами грузоподъемностью 10 т, работающих вне карьера, на расстояние: до 15 км.: I класс груза; ЭМ=9,57</t>
  </si>
  <si>
    <t>Перевозка грузов автомобилями-самосвалами грузоподъемностью 10 т, работающих вне карьера, на расстояние: до 15 км I класс груза</t>
  </si>
  <si>
    <t>Итого по разделу 8 Вывоз мусора</t>
  </si>
  <si>
    <t>Итого прямые затраты по смете в ценах 2001г.</t>
  </si>
  <si>
    <t>11540
704</t>
  </si>
  <si>
    <t>3296,68
56,89</t>
  </si>
  <si>
    <t>Итого прямые затраты по смете с учетом коэффициентов к итогам</t>
  </si>
  <si>
    <t>13276
816</t>
  </si>
  <si>
    <t>3645,71
65,19</t>
  </si>
  <si>
    <t>Итого прямые затраты по смете с учетом индексов, в текущих ценах</t>
  </si>
  <si>
    <t>133742
13423</t>
  </si>
  <si>
    <t>Итоги по смете:</t>
  </si>
  <si>
    <t xml:space="preserve">  Итого Строительные работы</t>
  </si>
  <si>
    <t>3581,26
64,18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</si>
  <si>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</si>
  <si>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</si>
  <si>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</si>
  <si>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</si>
  <si>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</si>
  <si>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</si>
  <si>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</si>
  <si>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</si>
  <si>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</si>
  <si>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Составлен(а) в текущих ценах по состоянию на 2 кв. 2015 года</t>
  </si>
  <si>
    <t xml:space="preserve">на   ремонт крыши </t>
  </si>
  <si>
    <t>Капитальный ремонт общего имущества многоквартирного дома  г. Томск, ул. Л. Толстого, 57</t>
  </si>
  <si>
    <t>Составила:____________________________Л.Кузьмина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</si>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</sst>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9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Border="1" applyAlignment="1"/>
    <xf numFmtId="0" fontId="1" fillId="0" borderId="0" xfId="9" quotePrefix="1" applyFont="1" applyAlignment="1">
      <alignment horizontal="left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9" applyFont="1">
      <alignment horizontal="right" indent="1"/>
    </xf>
    <xf numFmtId="0" fontId="1" fillId="0" borderId="0" xfId="9" applyFont="1" applyBorder="1">
      <alignment horizontal="right" indent="1"/>
    </xf>
    <xf numFmtId="0" fontId="1" fillId="0" borderId="0" xfId="9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9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center"/>
    </xf>
    <xf numFmtId="0" fontId="2" fillId="0" borderId="0" xfId="9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9" applyFont="1" applyBorder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0" xfId="11" applyFont="1" applyAlignment="1">
      <alignment horizontal="left" vertical="top"/>
    </xf>
    <xf numFmtId="0" fontId="1" fillId="0" borderId="3" xfId="4" applyFont="1" applyBorder="1" applyAlignment="1">
      <alignment horizontal="center" wrapText="1"/>
    </xf>
    <xf numFmtId="0" fontId="1" fillId="0" borderId="8" xfId="4" applyFont="1" applyBorder="1">
      <alignment horizontal="center" wrapText="1"/>
    </xf>
    <xf numFmtId="0" fontId="1" fillId="0" borderId="3" xfId="4" applyFont="1" applyBorder="1">
      <alignment horizontal="center" wrapText="1"/>
    </xf>
    <xf numFmtId="0" fontId="2" fillId="0" borderId="3" xfId="4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0" borderId="1" xfId="9" applyFont="1" applyBorder="1">
      <alignment horizontal="right" indent="1"/>
    </xf>
    <xf numFmtId="0" fontId="1" fillId="0" borderId="1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right" vertical="top" wrapText="1"/>
    </xf>
    <xf numFmtId="0" fontId="1" fillId="0" borderId="1" xfId="3" applyFont="1" applyBorder="1" applyAlignment="1">
      <alignment horizontal="right" vertical="top" wrapText="1"/>
    </xf>
    <xf numFmtId="0" fontId="1" fillId="0" borderId="1" xfId="3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1" xfId="3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" fillId="0" borderId="3" xfId="0" quotePrefix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9" applyFont="1" applyAlignment="1">
      <alignment horizontal="left"/>
    </xf>
    <xf numFmtId="0" fontId="1" fillId="0" borderId="2" xfId="9" applyFont="1" applyBorder="1">
      <alignment horizontal="right" indent="1"/>
    </xf>
    <xf numFmtId="0" fontId="1" fillId="0" borderId="6" xfId="9" applyFont="1" applyBorder="1">
      <alignment horizontal="right" indent="1"/>
    </xf>
    <xf numFmtId="0" fontId="1" fillId="0" borderId="7" xfId="0" quotePrefix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1" fillId="0" borderId="8" xfId="0" applyFont="1" applyBorder="1" applyAlignment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13" xfId="0" applyFont="1" applyBorder="1" applyAlignment="1"/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9" applyFont="1" applyAlignment="1">
      <alignment horizontal="left" vertical="top" wrapText="1"/>
    </xf>
    <xf numFmtId="0" fontId="1" fillId="0" borderId="0" xfId="9" applyFont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13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I227"/>
  <sheetViews>
    <sheetView showGridLines="0" tabSelected="1" zoomScale="101" zoomScaleNormal="101" workbookViewId="0">
      <selection activeCell="J11" sqref="J11:N13"/>
    </sheetView>
  </sheetViews>
  <sheetFormatPr defaultRowHeight="12.75" x14ac:dyDescent="0.2"/>
  <cols>
    <col min="1" max="1" width="3.42578125" style="3" customWidth="1"/>
    <col min="2" max="2" width="14.42578125" style="3" customWidth="1"/>
    <col min="3" max="3" width="41.7109375" style="3" customWidth="1"/>
    <col min="4" max="4" width="6.85546875" style="3" customWidth="1"/>
    <col min="5" max="5" width="9.7109375" style="35" customWidth="1"/>
    <col min="6" max="6" width="8.85546875" style="35" customWidth="1"/>
    <col min="7" max="7" width="0.140625" style="35" hidden="1" customWidth="1"/>
    <col min="8" max="8" width="25.28515625" style="35" customWidth="1"/>
    <col min="9" max="9" width="9.7109375" style="35" customWidth="1"/>
    <col min="10" max="10" width="8.140625" style="35" customWidth="1"/>
    <col min="11" max="11" width="8.7109375" style="35" customWidth="1"/>
    <col min="12" max="12" width="8.85546875" style="35" hidden="1" customWidth="1"/>
    <col min="13" max="13" width="7.7109375" style="35" customWidth="1"/>
    <col min="14" max="14" width="8" style="2" customWidth="1"/>
    <col min="15" max="15" width="9.140625" style="2"/>
    <col min="16" max="16" width="19.7109375" style="2" customWidth="1"/>
    <col min="17" max="26" width="9.140625" style="2"/>
    <col min="27" max="34" width="30.7109375" style="2" customWidth="1"/>
    <col min="35" max="35" width="31.5703125" style="2" customWidth="1"/>
    <col min="36" max="16384" width="9.140625" style="2"/>
  </cols>
  <sheetData>
    <row r="1" spans="1:14" s="1" customFormat="1" x14ac:dyDescent="0.2">
      <c r="A1" s="15"/>
      <c r="B1" s="20"/>
      <c r="C1" s="15"/>
      <c r="E1" s="21"/>
      <c r="F1" s="22" t="s">
        <v>705</v>
      </c>
      <c r="G1" s="21"/>
      <c r="H1" s="23"/>
      <c r="I1" s="15"/>
      <c r="J1" s="15"/>
      <c r="K1" s="15"/>
      <c r="L1" s="15"/>
      <c r="M1" s="15"/>
    </row>
    <row r="2" spans="1:14" s="1" customFormat="1" x14ac:dyDescent="0.2">
      <c r="A2" s="8" t="s">
        <v>5</v>
      </c>
      <c r="B2" s="20"/>
      <c r="D2" s="23"/>
      <c r="F2" s="24" t="s">
        <v>1</v>
      </c>
      <c r="G2" s="24"/>
      <c r="J2" s="8"/>
      <c r="L2" s="8"/>
      <c r="M2" s="15"/>
      <c r="N2" s="25" t="s">
        <v>6</v>
      </c>
    </row>
    <row r="3" spans="1:14" s="1" customFormat="1" x14ac:dyDescent="0.2">
      <c r="A3" s="26" t="s">
        <v>7</v>
      </c>
      <c r="E3" s="15"/>
      <c r="F3" s="15"/>
      <c r="G3" s="15"/>
      <c r="H3" s="15"/>
      <c r="J3" s="8"/>
      <c r="L3" s="8"/>
      <c r="M3" s="15"/>
      <c r="N3" s="27" t="s">
        <v>0</v>
      </c>
    </row>
    <row r="4" spans="1:14" s="1" customFormat="1" ht="51" customHeight="1" x14ac:dyDescent="0.2">
      <c r="A4" s="91" t="s">
        <v>25</v>
      </c>
      <c r="B4" s="91"/>
      <c r="C4" s="91"/>
      <c r="F4" s="28" t="s">
        <v>26</v>
      </c>
      <c r="G4" s="15"/>
      <c r="I4" s="92" t="s">
        <v>25</v>
      </c>
      <c r="J4" s="92"/>
      <c r="K4" s="92"/>
      <c r="L4" s="92"/>
      <c r="M4" s="92"/>
      <c r="N4" s="92"/>
    </row>
    <row r="5" spans="1:14" s="1" customFormat="1" x14ac:dyDescent="0.2">
      <c r="A5" s="15"/>
      <c r="B5" s="15"/>
      <c r="C5" s="15"/>
      <c r="F5" s="15" t="s">
        <v>2</v>
      </c>
      <c r="G5" s="15"/>
      <c r="I5" s="15"/>
      <c r="J5" s="15"/>
      <c r="K5" s="15"/>
      <c r="L5" s="15"/>
      <c r="M5" s="15"/>
    </row>
    <row r="6" spans="1:14" s="1" customFormat="1" x14ac:dyDescent="0.2">
      <c r="A6" s="15"/>
      <c r="B6" s="15"/>
      <c r="C6" s="15"/>
      <c r="E6" s="15"/>
      <c r="F6" s="15"/>
      <c r="G6" s="15"/>
      <c r="H6" s="15"/>
      <c r="I6" s="15"/>
      <c r="J6" s="15"/>
      <c r="K6" s="15"/>
      <c r="L6" s="15"/>
      <c r="M6" s="15"/>
    </row>
    <row r="7" spans="1:14" s="1" customFormat="1" x14ac:dyDescent="0.2">
      <c r="A7" s="15"/>
      <c r="B7" s="15"/>
      <c r="C7" s="29"/>
      <c r="D7" s="30" t="s">
        <v>704</v>
      </c>
      <c r="E7" s="31"/>
      <c r="F7" s="31"/>
      <c r="G7" s="31"/>
      <c r="H7" s="31"/>
      <c r="I7" s="32"/>
      <c r="J7" s="32"/>
      <c r="K7" s="32"/>
      <c r="L7" s="32"/>
      <c r="M7" s="15"/>
    </row>
    <row r="8" spans="1:14" s="1" customFormat="1" x14ac:dyDescent="0.2">
      <c r="A8" s="15"/>
      <c r="B8" s="15"/>
      <c r="C8" s="15"/>
      <c r="D8" s="33" t="s">
        <v>21</v>
      </c>
      <c r="E8" s="24"/>
      <c r="F8" s="24"/>
      <c r="G8" s="24"/>
      <c r="I8" s="32"/>
      <c r="J8" s="32"/>
      <c r="K8" s="32"/>
      <c r="L8" s="32"/>
      <c r="M8" s="15"/>
    </row>
    <row r="9" spans="1:14" s="1" customFormat="1" ht="7.5" customHeight="1" x14ac:dyDescent="0.2">
      <c r="A9" s="34"/>
      <c r="B9" s="34"/>
      <c r="C9" s="15"/>
      <c r="E9" s="15"/>
      <c r="F9" s="15"/>
      <c r="G9" s="15"/>
      <c r="H9" s="15"/>
      <c r="I9" s="15"/>
      <c r="J9" s="15"/>
      <c r="M9" s="15"/>
    </row>
    <row r="10" spans="1:14" x14ac:dyDescent="0.2">
      <c r="A10" s="76" t="s">
        <v>27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2">
      <c r="A11" s="6" t="s">
        <v>10</v>
      </c>
      <c r="B11" s="7"/>
      <c r="C11" s="77">
        <v>2922766</v>
      </c>
      <c r="D11" s="77"/>
      <c r="E11" s="77"/>
      <c r="F11" s="8" t="s">
        <v>9</v>
      </c>
      <c r="G11" s="9"/>
      <c r="H11" s="9"/>
      <c r="I11" s="9"/>
      <c r="J11" s="93" t="s">
        <v>707</v>
      </c>
      <c r="K11" s="94"/>
      <c r="L11" s="94"/>
      <c r="M11" s="94"/>
      <c r="N11" s="94"/>
    </row>
    <row r="12" spans="1:14" x14ac:dyDescent="0.2">
      <c r="A12" s="6" t="s">
        <v>20</v>
      </c>
      <c r="B12" s="7"/>
      <c r="C12" s="10"/>
      <c r="D12" s="78">
        <v>541273</v>
      </c>
      <c r="E12" s="78"/>
      <c r="F12" s="8" t="s">
        <v>9</v>
      </c>
      <c r="G12" s="9"/>
      <c r="H12" s="9"/>
      <c r="I12" s="9"/>
      <c r="J12" s="94"/>
      <c r="K12" s="94"/>
      <c r="L12" s="94"/>
      <c r="M12" s="94"/>
      <c r="N12" s="94"/>
    </row>
    <row r="13" spans="1:14" x14ac:dyDescent="0.2">
      <c r="A13" s="6" t="s">
        <v>703</v>
      </c>
      <c r="B13" s="2"/>
      <c r="C13" s="11"/>
      <c r="D13" s="12"/>
      <c r="E13" s="13"/>
      <c r="F13" s="36"/>
      <c r="G13" s="14"/>
      <c r="H13" s="14"/>
      <c r="I13" s="9"/>
      <c r="J13" s="94"/>
      <c r="K13" s="94"/>
      <c r="L13" s="94"/>
      <c r="M13" s="94"/>
      <c r="N13" s="94"/>
    </row>
    <row r="14" spans="1:14" ht="11.25" customHeight="1" x14ac:dyDescent="0.2">
      <c r="A14" s="15"/>
      <c r="B14" s="8"/>
      <c r="C14" s="8"/>
      <c r="D14" s="15"/>
      <c r="E14" s="9"/>
      <c r="F14" s="9"/>
      <c r="G14" s="9"/>
      <c r="H14" s="10"/>
      <c r="I14" s="9"/>
      <c r="J14" s="9"/>
      <c r="K14" s="9"/>
      <c r="L14" s="9"/>
      <c r="M14" s="9"/>
      <c r="N14" s="2" t="s">
        <v>9</v>
      </c>
    </row>
    <row r="15" spans="1:14" ht="12.75" customHeight="1" x14ac:dyDescent="0.2">
      <c r="A15" s="75" t="s">
        <v>3</v>
      </c>
      <c r="B15" s="75" t="s">
        <v>17</v>
      </c>
      <c r="C15" s="72" t="s">
        <v>22</v>
      </c>
      <c r="D15" s="72" t="s">
        <v>18</v>
      </c>
      <c r="E15" s="83" t="s">
        <v>23</v>
      </c>
      <c r="F15" s="84"/>
      <c r="G15" s="85"/>
      <c r="H15" s="72" t="s">
        <v>4</v>
      </c>
      <c r="I15" s="83" t="s">
        <v>24</v>
      </c>
      <c r="J15" s="89"/>
      <c r="K15" s="89"/>
      <c r="L15" s="80"/>
      <c r="M15" s="79" t="s">
        <v>19</v>
      </c>
      <c r="N15" s="80"/>
    </row>
    <row r="16" spans="1:14" s="4" customFormat="1" ht="38.25" customHeight="1" x14ac:dyDescent="0.2">
      <c r="A16" s="73"/>
      <c r="B16" s="73"/>
      <c r="C16" s="73"/>
      <c r="D16" s="73"/>
      <c r="E16" s="86"/>
      <c r="F16" s="87"/>
      <c r="G16" s="88"/>
      <c r="H16" s="73"/>
      <c r="I16" s="81"/>
      <c r="J16" s="90"/>
      <c r="K16" s="90"/>
      <c r="L16" s="82"/>
      <c r="M16" s="81"/>
      <c r="N16" s="82"/>
    </row>
    <row r="17" spans="1:35" s="4" customFormat="1" ht="12.75" customHeight="1" x14ac:dyDescent="0.2">
      <c r="A17" s="73"/>
      <c r="B17" s="73"/>
      <c r="C17" s="73"/>
      <c r="D17" s="73"/>
      <c r="E17" s="37" t="s">
        <v>12</v>
      </c>
      <c r="F17" s="37" t="s">
        <v>14</v>
      </c>
      <c r="G17" s="72" t="s">
        <v>16</v>
      </c>
      <c r="H17" s="73"/>
      <c r="I17" s="72" t="s">
        <v>12</v>
      </c>
      <c r="J17" s="72" t="s">
        <v>15</v>
      </c>
      <c r="K17" s="37" t="s">
        <v>14</v>
      </c>
      <c r="L17" s="72" t="s">
        <v>16</v>
      </c>
      <c r="M17" s="75" t="s">
        <v>8</v>
      </c>
      <c r="N17" s="72" t="s">
        <v>12</v>
      </c>
    </row>
    <row r="18" spans="1:35" s="4" customFormat="1" ht="11.25" customHeight="1" x14ac:dyDescent="0.2">
      <c r="A18" s="74"/>
      <c r="B18" s="74"/>
      <c r="C18" s="74"/>
      <c r="D18" s="74"/>
      <c r="E18" s="38" t="s">
        <v>11</v>
      </c>
      <c r="F18" s="37" t="s">
        <v>13</v>
      </c>
      <c r="G18" s="74"/>
      <c r="H18" s="74"/>
      <c r="I18" s="74"/>
      <c r="J18" s="74"/>
      <c r="K18" s="37" t="s">
        <v>13</v>
      </c>
      <c r="L18" s="74"/>
      <c r="M18" s="74"/>
      <c r="N18" s="74"/>
    </row>
    <row r="19" spans="1:35" x14ac:dyDescent="0.2">
      <c r="A19" s="42">
        <v>1</v>
      </c>
      <c r="B19" s="42">
        <v>2</v>
      </c>
      <c r="C19" s="42">
        <v>3</v>
      </c>
      <c r="D19" s="42">
        <v>4</v>
      </c>
      <c r="E19" s="42">
        <v>5</v>
      </c>
      <c r="F19" s="42">
        <v>6</v>
      </c>
      <c r="G19" s="42">
        <v>7</v>
      </c>
      <c r="H19" s="42">
        <v>7</v>
      </c>
      <c r="I19" s="42">
        <v>8</v>
      </c>
      <c r="J19" s="42">
        <v>9</v>
      </c>
      <c r="K19" s="42">
        <v>10</v>
      </c>
      <c r="L19" s="42">
        <v>12</v>
      </c>
      <c r="M19" s="42">
        <v>11</v>
      </c>
      <c r="N19" s="42">
        <v>12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43"/>
      <c r="AB19" s="44"/>
      <c r="AC19" s="44"/>
      <c r="AD19" s="44"/>
      <c r="AE19" s="44"/>
      <c r="AF19" s="45"/>
      <c r="AG19" s="44"/>
      <c r="AH19" s="44"/>
      <c r="AI19" s="44"/>
    </row>
    <row r="20" spans="1:35" ht="21" customHeight="1" x14ac:dyDescent="0.2">
      <c r="A20" s="70" t="s">
        <v>29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</row>
    <row r="21" spans="1:35" ht="105.75" customHeight="1" x14ac:dyDescent="0.2">
      <c r="A21" s="46">
        <v>1</v>
      </c>
      <c r="B21" s="47" t="s">
        <v>30</v>
      </c>
      <c r="C21" s="48" t="str">
        <f t="shared" ref="C21:C31" ca="1" si="0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Разборка покрытий кровель: из волнистых и полуволнистых асбестоцементных листов
100 м2 покрытия
10060 руб. НР 84%=110%*(0,85*0,9) от ФОТ (11976 руб.)
5748 руб.СП 48%=70%*(0,8*0,85) от ФОТ (11976 руб.)
</v>
      </c>
      <c r="D21" s="46">
        <v>5.87</v>
      </c>
      <c r="E21" s="49" t="s">
        <v>31</v>
      </c>
      <c r="F21" s="49">
        <v>30.64</v>
      </c>
      <c r="G21" s="49"/>
      <c r="H21" s="50" t="s">
        <v>32</v>
      </c>
      <c r="I21" s="51">
        <v>12514</v>
      </c>
      <c r="J21" s="49">
        <v>11976</v>
      </c>
      <c r="K21" s="49">
        <v>538</v>
      </c>
      <c r="L21" s="49" t="str">
        <f>IF(5.87*0=0," ",TEXT(,ROUND((5.87*0*1),2)))</f>
        <v xml:space="preserve"> </v>
      </c>
      <c r="M21" s="49">
        <v>15.9</v>
      </c>
      <c r="N21" s="49">
        <v>93.33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3" t="s">
        <v>33</v>
      </c>
      <c r="AB21" s="53" t="s">
        <v>34</v>
      </c>
      <c r="AC21" s="53">
        <v>10060</v>
      </c>
      <c r="AD21" s="53">
        <v>5748</v>
      </c>
      <c r="AE21" s="53"/>
      <c r="AF21" s="54" t="s">
        <v>35</v>
      </c>
      <c r="AG21" s="53" t="s">
        <v>36</v>
      </c>
      <c r="AH21" s="53"/>
      <c r="AI21" s="53">
        <f>11976+0</f>
        <v>11976</v>
      </c>
    </row>
    <row r="22" spans="1:35" ht="69" customHeight="1" x14ac:dyDescent="0.2">
      <c r="A22" s="46">
        <v>2</v>
      </c>
      <c r="B22" s="47" t="s">
        <v>37</v>
      </c>
      <c r="C22" s="48" t="str">
        <f t="shared" ca="1" si="0"/>
        <v xml:space="preserve">Разборка покрытий кровель: из листовой стали
100 м2 покрытия
276 руб. НР 84%=110%*(0,85*0,9) от ФОТ (329 руб.)
158 руб.СП 48%=70%*(0,8*0,85) от ФОТ (329 руб.)
</v>
      </c>
      <c r="D22" s="46">
        <v>0.30099999999999999</v>
      </c>
      <c r="E22" s="49" t="s">
        <v>38</v>
      </c>
      <c r="F22" s="49">
        <v>12.52</v>
      </c>
      <c r="G22" s="49"/>
      <c r="H22" s="50" t="s">
        <v>32</v>
      </c>
      <c r="I22" s="51">
        <v>341</v>
      </c>
      <c r="J22" s="49">
        <v>329</v>
      </c>
      <c r="K22" s="49">
        <v>12</v>
      </c>
      <c r="L22" s="49" t="str">
        <f>IF(0.301*0=0," ",TEXT(,ROUND((0.301*0*1),2)))</f>
        <v xml:space="preserve"> </v>
      </c>
      <c r="M22" s="49">
        <v>8.58</v>
      </c>
      <c r="N22" s="49">
        <v>2.58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3" t="s">
        <v>33</v>
      </c>
      <c r="AB22" s="53" t="s">
        <v>34</v>
      </c>
      <c r="AC22" s="53">
        <v>276</v>
      </c>
      <c r="AD22" s="53">
        <v>158</v>
      </c>
      <c r="AE22" s="53"/>
      <c r="AF22" s="54" t="s">
        <v>39</v>
      </c>
      <c r="AG22" s="53" t="s">
        <v>36</v>
      </c>
      <c r="AH22" s="53"/>
      <c r="AI22" s="53">
        <f>329+0</f>
        <v>329</v>
      </c>
    </row>
    <row r="23" spans="1:35" ht="102" x14ac:dyDescent="0.2">
      <c r="A23" s="46">
        <v>3</v>
      </c>
      <c r="B23" s="47" t="s">
        <v>40</v>
      </c>
      <c r="C23" s="48" t="str">
        <f t="shared" ca="1" si="0"/>
        <v xml:space="preserve">Разборка мелких покрытий и обделок из листовой стали: поясков, сандриков, желобов, отливов, свесов и т.п.
100 м труб и покрытий
782 руб. НР 71%=83%*0,85 от ФОТ (1102 руб.)
573 руб.СП 52%=65%*0,8 от ФОТ (1102 руб.)
</v>
      </c>
      <c r="D23" s="46">
        <v>0.94699999999999995</v>
      </c>
      <c r="E23" s="49" t="s">
        <v>41</v>
      </c>
      <c r="F23" s="49">
        <v>0.2</v>
      </c>
      <c r="G23" s="49"/>
      <c r="H23" s="50" t="s">
        <v>42</v>
      </c>
      <c r="I23" s="51">
        <v>1102</v>
      </c>
      <c r="J23" s="49">
        <v>1102</v>
      </c>
      <c r="K23" s="49"/>
      <c r="L23" s="49" t="str">
        <f>IF(0.947*0=0," ",TEXT(,ROUND((0.947*0*1),2)))</f>
        <v xml:space="preserve"> </v>
      </c>
      <c r="M23" s="49">
        <v>9.1</v>
      </c>
      <c r="N23" s="49">
        <v>8.6199999999999992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3" t="s">
        <v>43</v>
      </c>
      <c r="AB23" s="53" t="s">
        <v>44</v>
      </c>
      <c r="AC23" s="53">
        <v>782</v>
      </c>
      <c r="AD23" s="53">
        <v>573</v>
      </c>
      <c r="AE23" s="53"/>
      <c r="AF23" s="54" t="s">
        <v>45</v>
      </c>
      <c r="AG23" s="53" t="s">
        <v>46</v>
      </c>
      <c r="AH23" s="53"/>
      <c r="AI23" s="53">
        <f>1102+0</f>
        <v>1102</v>
      </c>
    </row>
    <row r="24" spans="1:35" ht="89.25" x14ac:dyDescent="0.2">
      <c r="A24" s="46">
        <v>4</v>
      </c>
      <c r="B24" s="47" t="s">
        <v>47</v>
      </c>
      <c r="C24" s="48" t="str">
        <f t="shared" ca="1" si="0"/>
        <v xml:space="preserve">Разборка слуховых окон: прямоугольных односкатных
100 окон
292 руб. НР 71%=83%*0,85 от ФОТ (411 руб.)
214 руб.СП 52%=65%*0,8 от ФОТ (411 руб.)
</v>
      </c>
      <c r="D24" s="46">
        <v>0.01</v>
      </c>
      <c r="E24" s="49" t="s">
        <v>48</v>
      </c>
      <c r="F24" s="49">
        <v>10.37</v>
      </c>
      <c r="G24" s="49"/>
      <c r="H24" s="50" t="s">
        <v>49</v>
      </c>
      <c r="I24" s="51">
        <v>411</v>
      </c>
      <c r="J24" s="49">
        <v>411</v>
      </c>
      <c r="K24" s="49"/>
      <c r="L24" s="49" t="str">
        <f>IF(0.01*0=0," ",TEXT(,ROUND((0.01*0*1),2)))</f>
        <v xml:space="preserve"> </v>
      </c>
      <c r="M24" s="49">
        <v>309.3</v>
      </c>
      <c r="N24" s="49">
        <v>3.09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3" t="s">
        <v>43</v>
      </c>
      <c r="AB24" s="53" t="s">
        <v>44</v>
      </c>
      <c r="AC24" s="53">
        <v>292</v>
      </c>
      <c r="AD24" s="53">
        <v>214</v>
      </c>
      <c r="AE24" s="53"/>
      <c r="AF24" s="54" t="s">
        <v>50</v>
      </c>
      <c r="AG24" s="53" t="s">
        <v>51</v>
      </c>
      <c r="AH24" s="53"/>
      <c r="AI24" s="53">
        <f>411+0</f>
        <v>411</v>
      </c>
    </row>
    <row r="25" spans="1:35" ht="89.25" x14ac:dyDescent="0.2">
      <c r="A25" s="46">
        <v>5</v>
      </c>
      <c r="B25" s="47" t="s">
        <v>52</v>
      </c>
      <c r="C25" s="48" t="str">
        <f t="shared" ca="1" si="0"/>
        <v xml:space="preserve">Разборка деревянных элементов конструкций крыш: обрешетки из брусков с прозорами
100 м2 кровли
8958 руб. НР 71%=83%*0,85 от ФОТ (12617 руб.)
6561 руб.СП 52%=65%*0,8 от ФОТ (12617 руб.)
</v>
      </c>
      <c r="D25" s="46">
        <v>6.0529999999999999</v>
      </c>
      <c r="E25" s="49" t="s">
        <v>53</v>
      </c>
      <c r="F25" s="49" t="s">
        <v>54</v>
      </c>
      <c r="G25" s="49"/>
      <c r="H25" s="50" t="s">
        <v>55</v>
      </c>
      <c r="I25" s="51">
        <v>14888</v>
      </c>
      <c r="J25" s="49">
        <v>11992</v>
      </c>
      <c r="K25" s="49" t="s">
        <v>56</v>
      </c>
      <c r="L25" s="49" t="str">
        <f>IF(6.053*0=0," ",TEXT(,ROUND((6.053*0*1),2)))</f>
        <v xml:space="preserve"> </v>
      </c>
      <c r="M25" s="49" t="s">
        <v>57</v>
      </c>
      <c r="N25" s="49" t="s">
        <v>58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3" t="s">
        <v>43</v>
      </c>
      <c r="AB25" s="53" t="s">
        <v>44</v>
      </c>
      <c r="AC25" s="53">
        <v>8958</v>
      </c>
      <c r="AD25" s="53">
        <v>6561</v>
      </c>
      <c r="AE25" s="53"/>
      <c r="AF25" s="54" t="s">
        <v>59</v>
      </c>
      <c r="AG25" s="53" t="s">
        <v>60</v>
      </c>
      <c r="AH25" s="53"/>
      <c r="AI25" s="53">
        <f>11992+625</f>
        <v>12617</v>
      </c>
    </row>
    <row r="26" spans="1:35" ht="83.25" customHeight="1" x14ac:dyDescent="0.2">
      <c r="A26" s="46">
        <v>6</v>
      </c>
      <c r="B26" s="47" t="s">
        <v>61</v>
      </c>
      <c r="C26" s="48" t="str">
        <f t="shared" ca="1" si="0"/>
        <v xml:space="preserve">Разборка деревянных элементов конструкций крыш: стропил со стойками и подкосами из досок
100 м2 кровли
1285 руб. НР 71%=83%*0,85 от ФОТ (1810 руб.)
941 руб.СП 52%=65%*0,8 от ФОТ (1810 руб.)
</v>
      </c>
      <c r="D26" s="46">
        <v>0.58699999999999997</v>
      </c>
      <c r="E26" s="49" t="s">
        <v>62</v>
      </c>
      <c r="F26" s="49" t="s">
        <v>63</v>
      </c>
      <c r="G26" s="49"/>
      <c r="H26" s="50" t="s">
        <v>55</v>
      </c>
      <c r="I26" s="51">
        <v>1956</v>
      </c>
      <c r="J26" s="49">
        <v>1777</v>
      </c>
      <c r="K26" s="49" t="s">
        <v>64</v>
      </c>
      <c r="L26" s="49" t="str">
        <f>IF(0.587*0=0," ",TEXT(,ROUND((0.587*0*1),2)))</f>
        <v xml:space="preserve"> </v>
      </c>
      <c r="M26" s="49" t="s">
        <v>65</v>
      </c>
      <c r="N26" s="49" t="s">
        <v>66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3" t="s">
        <v>43</v>
      </c>
      <c r="AB26" s="53" t="s">
        <v>44</v>
      </c>
      <c r="AC26" s="53">
        <v>1285</v>
      </c>
      <c r="AD26" s="53">
        <v>941</v>
      </c>
      <c r="AE26" s="53"/>
      <c r="AF26" s="54" t="s">
        <v>67</v>
      </c>
      <c r="AG26" s="53" t="s">
        <v>60</v>
      </c>
      <c r="AH26" s="53"/>
      <c r="AI26" s="53">
        <f>1777+33</f>
        <v>1810</v>
      </c>
    </row>
    <row r="27" spans="1:35" ht="165.75" x14ac:dyDescent="0.2">
      <c r="A27" s="46">
        <v>7</v>
      </c>
      <c r="B27" s="47" t="s">
        <v>68</v>
      </c>
      <c r="C27" s="48" t="str">
        <f t="shared" ca="1" si="0"/>
        <v xml:space="preserve">Демонтаж: карнизов
100 м2 стен, фронтонов (за вычетом проемов) и развернутых поверхностей карнизов
КОЭФ. К ПОЗИЦИИ:
Демонтаж (разборка) сборных деревянных конструкций ОЗП=0,8; ЭМ=0,8 к расх.; ЗПМ=0,8; МАТ=0 к расх.; ТЗ=0,8; ТЗМ=0,8
16671 руб. НР 90%=118%*(0,85*0,9) от ФОТ (18523 руб.)
7965 руб.СП 43%=63%*(0,8*0,85) от ФОТ (18523 руб.)
</v>
      </c>
      <c r="D27" s="46">
        <v>1.1539999999999999</v>
      </c>
      <c r="E27" s="49" t="s">
        <v>69</v>
      </c>
      <c r="F27" s="49">
        <v>63.85</v>
      </c>
      <c r="G27" s="49"/>
      <c r="H27" s="50" t="s">
        <v>70</v>
      </c>
      <c r="I27" s="51">
        <v>19364</v>
      </c>
      <c r="J27" s="49">
        <v>18523</v>
      </c>
      <c r="K27" s="49">
        <v>841</v>
      </c>
      <c r="L27" s="49" t="str">
        <f>IF(1.154*0=0," ",TEXT(,ROUND((1.154*0*6.51),2)))</f>
        <v xml:space="preserve"> </v>
      </c>
      <c r="M27" s="49">
        <v>114.4</v>
      </c>
      <c r="N27" s="49">
        <v>132.02000000000001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3" t="s">
        <v>71</v>
      </c>
      <c r="AB27" s="53" t="s">
        <v>72</v>
      </c>
      <c r="AC27" s="53">
        <v>16671</v>
      </c>
      <c r="AD27" s="53">
        <v>7965</v>
      </c>
      <c r="AE27" s="55" t="s">
        <v>73</v>
      </c>
      <c r="AF27" s="54" t="s">
        <v>74</v>
      </c>
      <c r="AG27" s="53" t="s">
        <v>75</v>
      </c>
      <c r="AH27" s="53"/>
      <c r="AI27" s="53">
        <f>18523+0</f>
        <v>18523</v>
      </c>
    </row>
    <row r="28" spans="1:35" ht="90.75" customHeight="1" x14ac:dyDescent="0.2">
      <c r="A28" s="46">
        <v>8</v>
      </c>
      <c r="B28" s="47" t="s">
        <v>76</v>
      </c>
      <c r="C28" s="48" t="str">
        <f t="shared" ca="1" si="0"/>
        <v xml:space="preserve">Разборка: кирпичных стен
1 м3
12892 руб. НР 84%=110%*(0,85*0,9) от ФОТ (15348 руб.)
7367 руб.СП 48%=70%*(0,8*0,85) от ФОТ (15348 руб.)
</v>
      </c>
      <c r="D28" s="46" t="s">
        <v>77</v>
      </c>
      <c r="E28" s="49" t="s">
        <v>78</v>
      </c>
      <c r="F28" s="49" t="s">
        <v>79</v>
      </c>
      <c r="G28" s="49"/>
      <c r="H28" s="50" t="s">
        <v>80</v>
      </c>
      <c r="I28" s="51">
        <v>21928</v>
      </c>
      <c r="J28" s="49">
        <v>13242</v>
      </c>
      <c r="K28" s="49" t="s">
        <v>81</v>
      </c>
      <c r="L28" s="49" t="str">
        <f>IF(11.03*0=0," ",TEXT(,ROUND((11.03*0*1),2)))</f>
        <v xml:space="preserve"> </v>
      </c>
      <c r="M28" s="49" t="s">
        <v>82</v>
      </c>
      <c r="N28" s="49" t="s">
        <v>83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3" t="s">
        <v>33</v>
      </c>
      <c r="AB28" s="53" t="s">
        <v>34</v>
      </c>
      <c r="AC28" s="53">
        <v>12892</v>
      </c>
      <c r="AD28" s="53">
        <v>7367</v>
      </c>
      <c r="AE28" s="53"/>
      <c r="AF28" s="54" t="s">
        <v>84</v>
      </c>
      <c r="AG28" s="53" t="s">
        <v>85</v>
      </c>
      <c r="AH28" s="53"/>
      <c r="AI28" s="53">
        <f>13242+2106</f>
        <v>15348</v>
      </c>
    </row>
    <row r="29" spans="1:35" ht="72.75" customHeight="1" x14ac:dyDescent="0.2">
      <c r="A29" s="46">
        <v>9</v>
      </c>
      <c r="B29" s="47" t="s">
        <v>86</v>
      </c>
      <c r="C29" s="48" t="str">
        <f t="shared" ca="1" si="0"/>
        <v xml:space="preserve">Затаривание строительного мусора в мешки Шлак
1 т
4984 руб. НР 66%=78%*0,85 от ФОТ (7551 руб.)
3020 руб.СП 40%=50%*0,8 от ФОТ (7551 руб.)
</v>
      </c>
      <c r="D29" s="46" t="s">
        <v>87</v>
      </c>
      <c r="E29" s="49" t="s">
        <v>88</v>
      </c>
      <c r="F29" s="49"/>
      <c r="G29" s="49">
        <v>16.399999999999999</v>
      </c>
      <c r="H29" s="50" t="s">
        <v>89</v>
      </c>
      <c r="I29" s="51">
        <v>15049</v>
      </c>
      <c r="J29" s="49">
        <v>7551</v>
      </c>
      <c r="K29" s="49"/>
      <c r="L29" s="49" t="str">
        <f>IF(61.95*16.4=0," ",TEXT(,ROUND((61.95*16.4*7.38),2)))</f>
        <v>7497.93</v>
      </c>
      <c r="M29" s="49">
        <v>1.03</v>
      </c>
      <c r="N29" s="49">
        <v>63.81</v>
      </c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3" t="s">
        <v>90</v>
      </c>
      <c r="AB29" s="53" t="s">
        <v>91</v>
      </c>
      <c r="AC29" s="53">
        <v>4984</v>
      </c>
      <c r="AD29" s="53">
        <v>3020</v>
      </c>
      <c r="AE29" s="53"/>
      <c r="AF29" s="54" t="s">
        <v>92</v>
      </c>
      <c r="AG29" s="53" t="s">
        <v>93</v>
      </c>
      <c r="AH29" s="53"/>
      <c r="AI29" s="53">
        <f>7551+0</f>
        <v>7551</v>
      </c>
    </row>
    <row r="30" spans="1:35" ht="175.5" customHeight="1" x14ac:dyDescent="0.2">
      <c r="A30" s="46">
        <v>10</v>
      </c>
      <c r="B30" s="47" t="s">
        <v>94</v>
      </c>
      <c r="C30" s="48" t="str">
        <f t="shared" ca="1" si="0"/>
        <v xml:space="preserve">Разборка трубопроводов канализации из полиэтиленовых труб высокой плотности диаметром: 110 мм
100 м трубопровода
КОЭФ. К ПОЗИЦИИ:
Демонтаж (разборка) внутренних санитарно-технических устройств (водопровода, газопровода, канализации, водостоков, отопления, вентиляции) ОЗП=0,4; ЭМ=0,4 к расх.; ЗПМ=0,4; МАТ=0 к расх.; ТЗ=0,4; ТЗМ=0,4
193 руб. НР 98%=128%*(0,85*0,9) от ФОТ (197 руб.)
110 руб.СП 56%=83%*(0,8*0,85) от ФОТ (197 руб.)
</v>
      </c>
      <c r="D30" s="46">
        <v>0.05</v>
      </c>
      <c r="E30" s="49" t="s">
        <v>95</v>
      </c>
      <c r="F30" s="49" t="s">
        <v>96</v>
      </c>
      <c r="G30" s="49"/>
      <c r="H30" s="50" t="s">
        <v>97</v>
      </c>
      <c r="I30" s="51">
        <v>197</v>
      </c>
      <c r="J30" s="49">
        <v>197</v>
      </c>
      <c r="K30" s="49"/>
      <c r="L30" s="49" t="str">
        <f>IF(0.05*0=0," ",TEXT(,ROUND((0.05*0*3.14),2)))</f>
        <v xml:space="preserve"> </v>
      </c>
      <c r="M30" s="49" t="s">
        <v>98</v>
      </c>
      <c r="N30" s="49">
        <v>1.23</v>
      </c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3" t="s">
        <v>99</v>
      </c>
      <c r="AB30" s="53" t="s">
        <v>100</v>
      </c>
      <c r="AC30" s="53">
        <v>193</v>
      </c>
      <c r="AD30" s="53">
        <v>110</v>
      </c>
      <c r="AE30" s="55" t="s">
        <v>101</v>
      </c>
      <c r="AF30" s="54" t="s">
        <v>102</v>
      </c>
      <c r="AG30" s="53" t="s">
        <v>103</v>
      </c>
      <c r="AH30" s="53"/>
      <c r="AI30" s="53">
        <f>197+0</f>
        <v>197</v>
      </c>
    </row>
    <row r="31" spans="1:35" ht="76.5" x14ac:dyDescent="0.2">
      <c r="A31" s="56">
        <v>11</v>
      </c>
      <c r="B31" s="57" t="s">
        <v>104</v>
      </c>
      <c r="C31" s="58" t="str">
        <f t="shared" ca="1" si="0"/>
        <v xml:space="preserve">Прочистка вентиляционных каналов
100 м канала
197 руб. НР 63%=74%*0,85 от ФОТ (313 руб.)
125 руб.СП 40%=50%*0,8 от ФОТ (313 руб.)
</v>
      </c>
      <c r="D31" s="56">
        <v>0.12</v>
      </c>
      <c r="E31" s="59" t="s">
        <v>105</v>
      </c>
      <c r="F31" s="59" t="s">
        <v>106</v>
      </c>
      <c r="G31" s="59">
        <v>29.24</v>
      </c>
      <c r="H31" s="60" t="s">
        <v>107</v>
      </c>
      <c r="I31" s="61">
        <v>349</v>
      </c>
      <c r="J31" s="59">
        <v>313</v>
      </c>
      <c r="K31" s="59"/>
      <c r="L31" s="59" t="str">
        <f>IF(0.12*29.24=0," ",TEXT(,ROUND((0.12*29.24*8.9),2)))</f>
        <v>31.23</v>
      </c>
      <c r="M31" s="59" t="s">
        <v>108</v>
      </c>
      <c r="N31" s="59">
        <v>2.2400000000000002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3" t="s">
        <v>109</v>
      </c>
      <c r="AB31" s="53" t="s">
        <v>91</v>
      </c>
      <c r="AC31" s="53">
        <v>197</v>
      </c>
      <c r="AD31" s="53">
        <v>125</v>
      </c>
      <c r="AE31" s="53"/>
      <c r="AF31" s="54" t="s">
        <v>110</v>
      </c>
      <c r="AG31" s="53" t="s">
        <v>111</v>
      </c>
      <c r="AH31" s="53"/>
      <c r="AI31" s="53">
        <f>313+0</f>
        <v>313</v>
      </c>
    </row>
    <row r="32" spans="1:35" ht="25.5" x14ac:dyDescent="0.2">
      <c r="A32" s="69" t="s">
        <v>112</v>
      </c>
      <c r="B32" s="64"/>
      <c r="C32" s="64"/>
      <c r="D32" s="64"/>
      <c r="E32" s="64"/>
      <c r="F32" s="64"/>
      <c r="G32" s="64"/>
      <c r="H32" s="64"/>
      <c r="I32" s="51">
        <v>6811</v>
      </c>
      <c r="J32" s="49">
        <v>4098</v>
      </c>
      <c r="K32" s="49" t="s">
        <v>113</v>
      </c>
      <c r="L32" s="49">
        <v>1020</v>
      </c>
      <c r="M32" s="49"/>
      <c r="N32" s="49" t="s">
        <v>114</v>
      </c>
      <c r="O32" s="18"/>
      <c r="P32" s="19"/>
      <c r="Q32" s="18"/>
      <c r="R32" s="18"/>
      <c r="S32" s="18"/>
      <c r="T32" s="18"/>
      <c r="U32" s="18"/>
      <c r="V32" s="18"/>
      <c r="W32" s="18"/>
      <c r="X32" s="18"/>
      <c r="Y32" s="18"/>
      <c r="Z32" s="18"/>
      <c r="AF32" s="4"/>
    </row>
    <row r="33" spans="1:35" ht="25.5" x14ac:dyDescent="0.2">
      <c r="A33" s="69" t="s">
        <v>115</v>
      </c>
      <c r="B33" s="64"/>
      <c r="C33" s="64"/>
      <c r="D33" s="64"/>
      <c r="E33" s="64"/>
      <c r="F33" s="64"/>
      <c r="G33" s="64"/>
      <c r="H33" s="64"/>
      <c r="I33" s="51">
        <v>88099</v>
      </c>
      <c r="J33" s="49">
        <v>67413</v>
      </c>
      <c r="K33" s="49" t="s">
        <v>116</v>
      </c>
      <c r="L33" s="49">
        <v>7534</v>
      </c>
      <c r="M33" s="49"/>
      <c r="N33" s="49" t="s">
        <v>114</v>
      </c>
      <c r="O33" s="18"/>
      <c r="P33" s="19"/>
      <c r="Q33" s="18"/>
      <c r="R33" s="18"/>
      <c r="S33" s="18"/>
      <c r="T33" s="18"/>
      <c r="U33" s="18"/>
      <c r="V33" s="18"/>
      <c r="W33" s="18"/>
      <c r="X33" s="18"/>
      <c r="Y33" s="18"/>
      <c r="Z33" s="18"/>
      <c r="AF33" s="4"/>
    </row>
    <row r="34" spans="1:35" x14ac:dyDescent="0.2">
      <c r="A34" s="69" t="s">
        <v>117</v>
      </c>
      <c r="B34" s="64"/>
      <c r="C34" s="64"/>
      <c r="D34" s="64"/>
      <c r="E34" s="64"/>
      <c r="F34" s="64"/>
      <c r="G34" s="64"/>
      <c r="H34" s="64"/>
      <c r="I34" s="51">
        <v>56591</v>
      </c>
      <c r="J34" s="49"/>
      <c r="K34" s="49"/>
      <c r="L34" s="49"/>
      <c r="M34" s="49"/>
      <c r="N34" s="49"/>
      <c r="O34" s="18"/>
      <c r="P34" s="19"/>
      <c r="Q34" s="18"/>
      <c r="R34" s="18"/>
      <c r="S34" s="18"/>
      <c r="T34" s="5"/>
      <c r="U34" s="5"/>
      <c r="V34" s="5"/>
      <c r="W34" s="5"/>
      <c r="X34" s="5"/>
      <c r="Y34" s="5"/>
      <c r="Z34" s="5"/>
    </row>
    <row r="35" spans="1:35" x14ac:dyDescent="0.2">
      <c r="A35" s="69" t="s">
        <v>118</v>
      </c>
      <c r="B35" s="64"/>
      <c r="C35" s="64"/>
      <c r="D35" s="64"/>
      <c r="E35" s="64"/>
      <c r="F35" s="64"/>
      <c r="G35" s="64"/>
      <c r="H35" s="64"/>
      <c r="I35" s="51">
        <v>32782</v>
      </c>
      <c r="J35" s="49"/>
      <c r="K35" s="49"/>
      <c r="L35" s="49"/>
      <c r="M35" s="49"/>
      <c r="N35" s="49"/>
      <c r="O35" s="18"/>
      <c r="P35" s="19"/>
      <c r="Q35" s="18"/>
      <c r="R35" s="18"/>
      <c r="S35" s="18"/>
    </row>
    <row r="36" spans="1:35" ht="25.5" x14ac:dyDescent="0.2">
      <c r="A36" s="67" t="s">
        <v>119</v>
      </c>
      <c r="B36" s="68"/>
      <c r="C36" s="68"/>
      <c r="D36" s="68"/>
      <c r="E36" s="68"/>
      <c r="F36" s="68"/>
      <c r="G36" s="68"/>
      <c r="H36" s="68"/>
      <c r="I36" s="61">
        <v>177472</v>
      </c>
      <c r="J36" s="59"/>
      <c r="K36" s="59"/>
      <c r="L36" s="59"/>
      <c r="M36" s="59"/>
      <c r="N36" s="59" t="s">
        <v>114</v>
      </c>
      <c r="O36" s="18"/>
      <c r="P36" s="19"/>
      <c r="Q36" s="18"/>
      <c r="R36" s="18"/>
      <c r="S36" s="18"/>
    </row>
    <row r="37" spans="1:35" ht="21" customHeight="1" x14ac:dyDescent="0.2">
      <c r="A37" s="70" t="s">
        <v>120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</row>
    <row r="38" spans="1:35" ht="153" x14ac:dyDescent="0.2">
      <c r="A38" s="46">
        <v>12</v>
      </c>
      <c r="B38" s="47" t="s">
        <v>121</v>
      </c>
      <c r="C38" s="48" t="str">
        <f t="shared" ref="C38:C68" ca="1" si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Устройство покрытий: из плит древесностружечных
100 м2 покрытия
КОЭФ. К ПОЗИЦИИ:
В 2 слоя ПЗ=2 (ОЗП=2; ЭМ=2 к расх.; ЗПМ=2; МАТ=2 к расх.; ТЗ=2; ТЗМ=2)
74377 руб. НР 94%=123%*(0,85*0,9) от ФОТ (79124 руб.)
40353 руб.СП 51%=75%*(0,8*0,85) от ФОТ (79124 руб.)
</v>
      </c>
      <c r="D38" s="46">
        <v>4.9560000000000004</v>
      </c>
      <c r="E38" s="49" t="s">
        <v>122</v>
      </c>
      <c r="F38" s="49" t="s">
        <v>123</v>
      </c>
      <c r="G38" s="49">
        <v>8002</v>
      </c>
      <c r="H38" s="50" t="s">
        <v>124</v>
      </c>
      <c r="I38" s="51">
        <v>353922</v>
      </c>
      <c r="J38" s="49">
        <v>77512</v>
      </c>
      <c r="K38" s="49" t="s">
        <v>125</v>
      </c>
      <c r="L38" s="49" t="str">
        <f>IF(4.956*8002=0," ",TEXT(,ROUND((4.956*8002*6.67),2)))</f>
        <v>264518.27</v>
      </c>
      <c r="M38" s="49" t="s">
        <v>126</v>
      </c>
      <c r="N38" s="49" t="s">
        <v>127</v>
      </c>
      <c r="O38" s="52"/>
      <c r="P38" s="52"/>
      <c r="Q38" s="52"/>
      <c r="R38" s="52"/>
      <c r="S38" s="52"/>
      <c r="T38" s="53"/>
      <c r="U38" s="53"/>
      <c r="V38" s="53"/>
      <c r="W38" s="53"/>
      <c r="X38" s="53"/>
      <c r="Y38" s="53"/>
      <c r="Z38" s="53"/>
      <c r="AA38" s="53" t="s">
        <v>128</v>
      </c>
      <c r="AB38" s="53" t="s">
        <v>129</v>
      </c>
      <c r="AC38" s="53">
        <v>74377</v>
      </c>
      <c r="AD38" s="53">
        <v>40353</v>
      </c>
      <c r="AE38" s="55" t="s">
        <v>130</v>
      </c>
      <c r="AF38" s="53" t="s">
        <v>131</v>
      </c>
      <c r="AG38" s="53" t="s">
        <v>36</v>
      </c>
      <c r="AH38" s="53"/>
      <c r="AI38" s="53">
        <f>77512+1612</f>
        <v>79124</v>
      </c>
    </row>
    <row r="39" spans="1:35" ht="63.75" x14ac:dyDescent="0.2">
      <c r="A39" s="46">
        <v>13</v>
      </c>
      <c r="B39" s="47" t="s">
        <v>132</v>
      </c>
      <c r="C39" s="48" t="str">
        <f t="shared" ca="1" si="1"/>
        <v xml:space="preserve">Плиты древесностружечные многослойные и трехслойные, марки П-1, толщиной: 18-20 мм
100 м2
</v>
      </c>
      <c r="D39" s="46">
        <v>-10.18</v>
      </c>
      <c r="E39" s="49">
        <v>3834</v>
      </c>
      <c r="F39" s="49"/>
      <c r="G39" s="49">
        <v>3834</v>
      </c>
      <c r="H39" s="50" t="s">
        <v>133</v>
      </c>
      <c r="I39" s="51">
        <v>-262438</v>
      </c>
      <c r="J39" s="49"/>
      <c r="K39" s="49"/>
      <c r="L39" s="49" t="str">
        <f>IF(-10.18*3834=0," ",TEXT(,ROUND((-10.18*3834*6.724),2)))</f>
        <v>-262438.53</v>
      </c>
      <c r="M39" s="49"/>
      <c r="N39" s="49"/>
      <c r="O39" s="52"/>
      <c r="P39" s="52"/>
      <c r="Q39" s="52"/>
      <c r="R39" s="52"/>
      <c r="S39" s="52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 t="s">
        <v>134</v>
      </c>
      <c r="AG39" s="53" t="s">
        <v>135</v>
      </c>
      <c r="AH39" s="53"/>
      <c r="AI39" s="53">
        <f>0+0</f>
        <v>0</v>
      </c>
    </row>
    <row r="40" spans="1:35" ht="63.75" x14ac:dyDescent="0.2">
      <c r="A40" s="46">
        <v>14</v>
      </c>
      <c r="B40" s="47" t="s">
        <v>136</v>
      </c>
      <c r="C40" s="48" t="str">
        <f t="shared" ca="1" si="1"/>
        <v xml:space="preserve">Листы гипсоволокнистые: влагостойкие ГВЛВ 12,5 мм
м2
</v>
      </c>
      <c r="D40" s="46">
        <v>1018</v>
      </c>
      <c r="E40" s="49">
        <v>27.29</v>
      </c>
      <c r="F40" s="49"/>
      <c r="G40" s="49">
        <v>27.29</v>
      </c>
      <c r="H40" s="50" t="s">
        <v>137</v>
      </c>
      <c r="I40" s="51">
        <v>136405</v>
      </c>
      <c r="J40" s="49"/>
      <c r="K40" s="49"/>
      <c r="L40" s="49" t="str">
        <f>IF(1018*27.29=0," ",TEXT(,ROUND((1018*27.29*4.91),2)))</f>
        <v>136405.79</v>
      </c>
      <c r="M40" s="49"/>
      <c r="N40" s="49"/>
      <c r="O40" s="52"/>
      <c r="P40" s="52"/>
      <c r="Q40" s="52"/>
      <c r="R40" s="52"/>
      <c r="S40" s="52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 t="s">
        <v>138</v>
      </c>
      <c r="AG40" s="53" t="s">
        <v>139</v>
      </c>
      <c r="AH40" s="53"/>
      <c r="AI40" s="53">
        <f>0+0</f>
        <v>0</v>
      </c>
    </row>
    <row r="41" spans="1:35" ht="114.75" x14ac:dyDescent="0.2">
      <c r="A41" s="46">
        <v>15</v>
      </c>
      <c r="B41" s="47" t="s">
        <v>140</v>
      </c>
      <c r="C41" s="48" t="str">
        <f t="shared" ca="1" si="1"/>
        <v xml:space="preserve">Кладка стен кирпичных наружных: простых при высоте этажа до 4 м
1 м3 кладки
7252 руб. НР 93%=122%*(0,85*0,9) от ФОТ (7798 руб.)
4211 руб.СП 54%=80%*(0,8*0,85) от ФОТ (7798 руб.)
</v>
      </c>
      <c r="D41" s="46">
        <v>8.11</v>
      </c>
      <c r="E41" s="49" t="s">
        <v>141</v>
      </c>
      <c r="F41" s="49" t="s">
        <v>142</v>
      </c>
      <c r="G41" s="49">
        <v>811.41</v>
      </c>
      <c r="H41" s="50" t="s">
        <v>143</v>
      </c>
      <c r="I41" s="51">
        <v>41570</v>
      </c>
      <c r="J41" s="49">
        <v>6893</v>
      </c>
      <c r="K41" s="49" t="s">
        <v>144</v>
      </c>
      <c r="L41" s="49" t="str">
        <f>IF(8.11*811.41=0," ",TEXT(,ROUND((8.11*811.41*4.63),2)))</f>
        <v>30467.88</v>
      </c>
      <c r="M41" s="49" t="s">
        <v>145</v>
      </c>
      <c r="N41" s="49" t="s">
        <v>146</v>
      </c>
      <c r="O41" s="52"/>
      <c r="P41" s="52"/>
      <c r="Q41" s="52"/>
      <c r="R41" s="52"/>
      <c r="S41" s="52"/>
      <c r="T41" s="53"/>
      <c r="U41" s="53"/>
      <c r="V41" s="53"/>
      <c r="W41" s="53"/>
      <c r="X41" s="53"/>
      <c r="Y41" s="53"/>
      <c r="Z41" s="53"/>
      <c r="AA41" s="53" t="s">
        <v>147</v>
      </c>
      <c r="AB41" s="53" t="s">
        <v>148</v>
      </c>
      <c r="AC41" s="53">
        <v>7252</v>
      </c>
      <c r="AD41" s="53">
        <v>4211</v>
      </c>
      <c r="AE41" s="53"/>
      <c r="AF41" s="53" t="s">
        <v>149</v>
      </c>
      <c r="AG41" s="53" t="s">
        <v>150</v>
      </c>
      <c r="AH41" s="53"/>
      <c r="AI41" s="53">
        <f>6893+905</f>
        <v>7798</v>
      </c>
    </row>
    <row r="42" spans="1:35" ht="102" x14ac:dyDescent="0.2">
      <c r="A42" s="46">
        <v>16</v>
      </c>
      <c r="B42" s="47" t="s">
        <v>151</v>
      </c>
      <c r="C42" s="48" t="str">
        <f t="shared" ca="1" si="1"/>
        <v xml:space="preserve">Кладка из кирпича: столбов прямоугольных неармированных при высоте этажа до 4 м
1 м3 кладки
489 руб. НР 93%=122%*(0,85*0,9) от ФОТ (526 руб.)
284 руб.СП 54%=80%*(0,8*0,85) от ФОТ (526 руб.)
</v>
      </c>
      <c r="D42" s="46">
        <v>0.34</v>
      </c>
      <c r="E42" s="49" t="s">
        <v>152</v>
      </c>
      <c r="F42" s="49" t="s">
        <v>153</v>
      </c>
      <c r="G42" s="49">
        <v>822.65</v>
      </c>
      <c r="H42" s="50" t="s">
        <v>154</v>
      </c>
      <c r="I42" s="51">
        <v>1953</v>
      </c>
      <c r="J42" s="49">
        <v>477</v>
      </c>
      <c r="K42" s="49" t="s">
        <v>155</v>
      </c>
      <c r="L42" s="49" t="str">
        <f>IF(0.34*822.65=0," ",TEXT(,ROUND((0.34*822.65*4.63),2)))</f>
        <v>1295.02</v>
      </c>
      <c r="M42" s="49" t="s">
        <v>156</v>
      </c>
      <c r="N42" s="49" t="s">
        <v>157</v>
      </c>
      <c r="O42" s="52"/>
      <c r="P42" s="52"/>
      <c r="Q42" s="52"/>
      <c r="R42" s="52"/>
      <c r="S42" s="52"/>
      <c r="T42" s="53"/>
      <c r="U42" s="53"/>
      <c r="V42" s="53"/>
      <c r="W42" s="53"/>
      <c r="X42" s="53"/>
      <c r="Y42" s="53"/>
      <c r="Z42" s="53"/>
      <c r="AA42" s="53" t="s">
        <v>147</v>
      </c>
      <c r="AB42" s="53" t="s">
        <v>148</v>
      </c>
      <c r="AC42" s="53">
        <v>489</v>
      </c>
      <c r="AD42" s="53">
        <v>284</v>
      </c>
      <c r="AE42" s="53"/>
      <c r="AF42" s="53" t="s">
        <v>158</v>
      </c>
      <c r="AG42" s="53" t="s">
        <v>150</v>
      </c>
      <c r="AH42" s="53"/>
      <c r="AI42" s="53">
        <f>477+49</f>
        <v>526</v>
      </c>
    </row>
    <row r="43" spans="1:35" ht="89.25" x14ac:dyDescent="0.2">
      <c r="A43" s="46">
        <v>17</v>
      </c>
      <c r="B43" s="47" t="s">
        <v>159</v>
      </c>
      <c r="C43" s="48" t="str">
        <f t="shared" ca="1" si="1"/>
        <v xml:space="preserve">Устройство покрытия из рулонных материалов: насухо без промазки кромок
100 м2 кровли
2126 руб. НР 71%=83%*0,85 от ФОТ (2994 руб.)
1557 руб.СП 52%=65%*0,8 от ФОТ (2994 руб.)
</v>
      </c>
      <c r="D43" s="46">
        <v>5.0199999999999996</v>
      </c>
      <c r="E43" s="49" t="s">
        <v>160</v>
      </c>
      <c r="F43" s="49">
        <v>5.23</v>
      </c>
      <c r="G43" s="49">
        <v>883.33</v>
      </c>
      <c r="H43" s="50" t="s">
        <v>161</v>
      </c>
      <c r="I43" s="51">
        <v>25462</v>
      </c>
      <c r="J43" s="49">
        <v>2994</v>
      </c>
      <c r="K43" s="49">
        <v>297</v>
      </c>
      <c r="L43" s="49" t="str">
        <f>IF(5.02*883.33=0," ",TEXT(,ROUND((5.02*883.33*5),2)))</f>
        <v>22171.58</v>
      </c>
      <c r="M43" s="49">
        <v>4.5199999999999996</v>
      </c>
      <c r="N43" s="49">
        <v>22.69</v>
      </c>
      <c r="O43" s="52"/>
      <c r="P43" s="52"/>
      <c r="Q43" s="52"/>
      <c r="R43" s="52"/>
      <c r="S43" s="52"/>
      <c r="T43" s="53"/>
      <c r="U43" s="53"/>
      <c r="V43" s="53"/>
      <c r="W43" s="53"/>
      <c r="X43" s="53"/>
      <c r="Y43" s="53"/>
      <c r="Z43" s="53"/>
      <c r="AA43" s="53" t="s">
        <v>43</v>
      </c>
      <c r="AB43" s="53" t="s">
        <v>44</v>
      </c>
      <c r="AC43" s="53">
        <v>2126</v>
      </c>
      <c r="AD43" s="53">
        <v>1557</v>
      </c>
      <c r="AE43" s="53"/>
      <c r="AF43" s="53" t="s">
        <v>162</v>
      </c>
      <c r="AG43" s="53" t="s">
        <v>60</v>
      </c>
      <c r="AH43" s="53"/>
      <c r="AI43" s="53">
        <f>2994+0</f>
        <v>2994</v>
      </c>
    </row>
    <row r="44" spans="1:35" ht="63.75" x14ac:dyDescent="0.2">
      <c r="A44" s="46">
        <v>18</v>
      </c>
      <c r="B44" s="47" t="s">
        <v>163</v>
      </c>
      <c r="C44" s="48" t="str">
        <f t="shared" ca="1" si="1"/>
        <v xml:space="preserve">Рубероид кровельный с крупнозернистой посыпкой марки: РКК-350б
м2
</v>
      </c>
      <c r="D44" s="46">
        <v>-577.29999999999995</v>
      </c>
      <c r="E44" s="49">
        <v>7.46</v>
      </c>
      <c r="F44" s="49"/>
      <c r="G44" s="49">
        <v>7.46</v>
      </c>
      <c r="H44" s="50" t="s">
        <v>164</v>
      </c>
      <c r="I44" s="51">
        <v>-21531</v>
      </c>
      <c r="J44" s="49"/>
      <c r="K44" s="49"/>
      <c r="L44" s="49" t="str">
        <f>IF(-577.3*7.46=0," ",TEXT(,ROUND((-577.3*7.46*4.999),2)))</f>
        <v>-21528.98</v>
      </c>
      <c r="M44" s="49"/>
      <c r="N44" s="49"/>
      <c r="O44" s="52"/>
      <c r="P44" s="52"/>
      <c r="Q44" s="52"/>
      <c r="R44" s="52"/>
      <c r="S44" s="52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 t="s">
        <v>165</v>
      </c>
      <c r="AG44" s="53" t="s">
        <v>139</v>
      </c>
      <c r="AH44" s="53"/>
      <c r="AI44" s="53">
        <f>0+0</f>
        <v>0</v>
      </c>
    </row>
    <row r="45" spans="1:35" ht="63.75" x14ac:dyDescent="0.2">
      <c r="A45" s="46">
        <v>19</v>
      </c>
      <c r="B45" s="47" t="s">
        <v>166</v>
      </c>
      <c r="C45" s="48" t="str">
        <f t="shared" ca="1" si="1"/>
        <v xml:space="preserve">Изоспан: Двухслойная паропроницаемая мембрана марки В 13,60/5,58=2,44
м2
</v>
      </c>
      <c r="D45" s="46">
        <v>577.29999999999995</v>
      </c>
      <c r="E45" s="49">
        <v>2.44</v>
      </c>
      <c r="F45" s="49"/>
      <c r="G45" s="49">
        <v>2.44</v>
      </c>
      <c r="H45" s="50" t="s">
        <v>167</v>
      </c>
      <c r="I45" s="51">
        <v>7862</v>
      </c>
      <c r="J45" s="49"/>
      <c r="K45" s="49"/>
      <c r="L45" s="49" t="str">
        <f>IF(577.3*2.44=0," ",TEXT(,ROUND((577.3*2.44*5.58),2)))</f>
        <v>7860.05</v>
      </c>
      <c r="M45" s="49"/>
      <c r="N45" s="49"/>
      <c r="O45" s="52"/>
      <c r="P45" s="52"/>
      <c r="Q45" s="52"/>
      <c r="R45" s="52"/>
      <c r="S45" s="52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 t="s">
        <v>168</v>
      </c>
      <c r="AG45" s="53" t="s">
        <v>139</v>
      </c>
      <c r="AH45" s="53"/>
      <c r="AI45" s="53">
        <f>0+0</f>
        <v>0</v>
      </c>
    </row>
    <row r="46" spans="1:35" ht="127.5" x14ac:dyDescent="0.2">
      <c r="A46" s="46">
        <v>20</v>
      </c>
      <c r="B46" s="47" t="s">
        <v>169</v>
      </c>
      <c r="C46" s="48" t="str">
        <f t="shared" ca="1" si="1"/>
        <v xml:space="preserve">Утепление покрытий плитами: из минеральной ваты или перлита на битумной мастике в один слой
100 м2 утепляемого покрытия
31722 руб. НР 92%=120%*(0,85*0,9) от ФОТ (34480 руб.)
15171 руб.СП 44%=65%*(0,8*0,85) от ФОТ (34480 руб.)
</v>
      </c>
      <c r="D46" s="46">
        <v>4.1318000000000001</v>
      </c>
      <c r="E46" s="49" t="s">
        <v>170</v>
      </c>
      <c r="F46" s="49" t="s">
        <v>171</v>
      </c>
      <c r="G46" s="49">
        <v>4146.24</v>
      </c>
      <c r="H46" s="50" t="s">
        <v>172</v>
      </c>
      <c r="I46" s="51">
        <v>156483</v>
      </c>
      <c r="J46" s="49">
        <v>33838</v>
      </c>
      <c r="K46" s="49" t="s">
        <v>173</v>
      </c>
      <c r="L46" s="49" t="str">
        <f>IF(4.1318*4146.24=0," ",TEXT(,ROUND((4.1318*4146.24*6.8),2)))</f>
        <v>116493.75</v>
      </c>
      <c r="M46" s="49" t="s">
        <v>174</v>
      </c>
      <c r="N46" s="49" t="s">
        <v>175</v>
      </c>
      <c r="O46" s="52"/>
      <c r="P46" s="52"/>
      <c r="Q46" s="52"/>
      <c r="R46" s="52"/>
      <c r="S46" s="52"/>
      <c r="T46" s="53"/>
      <c r="U46" s="53"/>
      <c r="V46" s="53"/>
      <c r="W46" s="53"/>
      <c r="X46" s="53"/>
      <c r="Y46" s="53"/>
      <c r="Z46" s="53"/>
      <c r="AA46" s="53" t="s">
        <v>176</v>
      </c>
      <c r="AB46" s="53" t="s">
        <v>177</v>
      </c>
      <c r="AC46" s="53">
        <v>31722</v>
      </c>
      <c r="AD46" s="53">
        <v>15171</v>
      </c>
      <c r="AE46" s="53"/>
      <c r="AF46" s="53" t="s">
        <v>178</v>
      </c>
      <c r="AG46" s="53" t="s">
        <v>179</v>
      </c>
      <c r="AH46" s="53"/>
      <c r="AI46" s="53">
        <f>33838+642</f>
        <v>34480</v>
      </c>
    </row>
    <row r="47" spans="1:35" ht="51" x14ac:dyDescent="0.2">
      <c r="A47" s="46">
        <v>21</v>
      </c>
      <c r="B47" s="47" t="s">
        <v>180</v>
      </c>
      <c r="C47" s="48" t="str">
        <f t="shared" ca="1" si="1"/>
        <v xml:space="preserve">Котлы битумные передвижные 400 л
маш.-ч
</v>
      </c>
      <c r="D47" s="46">
        <v>-9.5</v>
      </c>
      <c r="E47" s="49">
        <v>30</v>
      </c>
      <c r="F47" s="49">
        <v>30</v>
      </c>
      <c r="G47" s="49"/>
      <c r="H47" s="50" t="s">
        <v>181</v>
      </c>
      <c r="I47" s="51">
        <v>-1548</v>
      </c>
      <c r="J47" s="49"/>
      <c r="K47" s="49">
        <v>-1548</v>
      </c>
      <c r="L47" s="49" t="str">
        <f>IF(-9.5*0=0," ",TEXT(,ROUND((-9.5*0*1),2)))</f>
        <v xml:space="preserve"> </v>
      </c>
      <c r="M47" s="49"/>
      <c r="N47" s="49"/>
      <c r="O47" s="52"/>
      <c r="P47" s="52"/>
      <c r="Q47" s="52"/>
      <c r="R47" s="52"/>
      <c r="S47" s="52"/>
      <c r="T47" s="53"/>
      <c r="U47" s="53"/>
      <c r="V47" s="53"/>
      <c r="W47" s="53"/>
      <c r="X47" s="53"/>
      <c r="Y47" s="53"/>
      <c r="Z47" s="53"/>
      <c r="AA47" s="53" t="s">
        <v>182</v>
      </c>
      <c r="AB47" s="53" t="s">
        <v>183</v>
      </c>
      <c r="AC47" s="53"/>
      <c r="AD47" s="53"/>
      <c r="AE47" s="53"/>
      <c r="AF47" s="53" t="s">
        <v>184</v>
      </c>
      <c r="AG47" s="53" t="s">
        <v>185</v>
      </c>
      <c r="AH47" s="53"/>
      <c r="AI47" s="53">
        <f>0+0</f>
        <v>0</v>
      </c>
    </row>
    <row r="48" spans="1:35" ht="76.5" x14ac:dyDescent="0.2">
      <c r="A48" s="46">
        <v>22</v>
      </c>
      <c r="B48" s="47" t="s">
        <v>186</v>
      </c>
      <c r="C48" s="48" t="str">
        <f t="shared" ca="1" si="1"/>
        <v xml:space="preserve">Битумы нефтяные строительные кровельные марки БНК-45/190, БНК-45/180
т
</v>
      </c>
      <c r="D48" s="46">
        <v>-0.1033</v>
      </c>
      <c r="E48" s="49">
        <v>1530</v>
      </c>
      <c r="F48" s="49"/>
      <c r="G48" s="49">
        <v>1530</v>
      </c>
      <c r="H48" s="50" t="s">
        <v>172</v>
      </c>
      <c r="I48" s="51">
        <v>-1074</v>
      </c>
      <c r="J48" s="49"/>
      <c r="K48" s="49"/>
      <c r="L48" s="49" t="str">
        <f>IF(-0.1033*1530=0," ",TEXT(,ROUND((-0.1033*1530*6.8),2)))</f>
        <v>-1074.73</v>
      </c>
      <c r="M48" s="49"/>
      <c r="N48" s="49"/>
      <c r="O48" s="52"/>
      <c r="P48" s="52"/>
      <c r="Q48" s="52"/>
      <c r="R48" s="52"/>
      <c r="S48" s="52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 t="s">
        <v>187</v>
      </c>
      <c r="AG48" s="53" t="s">
        <v>188</v>
      </c>
      <c r="AH48" s="53"/>
      <c r="AI48" s="53">
        <f>0+0</f>
        <v>0</v>
      </c>
    </row>
    <row r="49" spans="1:35" ht="76.5" x14ac:dyDescent="0.2">
      <c r="A49" s="46">
        <v>23</v>
      </c>
      <c r="B49" s="47" t="s">
        <v>189</v>
      </c>
      <c r="C49" s="48" t="str">
        <f t="shared" ca="1" si="1"/>
        <v xml:space="preserve">Керосин для технических целей марок КТ-1, КТ-2
т
</v>
      </c>
      <c r="D49" s="46">
        <v>-0.23960000000000001</v>
      </c>
      <c r="E49" s="49">
        <v>2606.9</v>
      </c>
      <c r="F49" s="49"/>
      <c r="G49" s="49">
        <v>2606.9</v>
      </c>
      <c r="H49" s="50" t="s">
        <v>172</v>
      </c>
      <c r="I49" s="51">
        <v>-4250</v>
      </c>
      <c r="J49" s="49"/>
      <c r="K49" s="49"/>
      <c r="L49" s="49" t="str">
        <f>IF(-0.2396*2606.9=0," ",TEXT(,ROUND((-0.2396*2606.9*6.8),2)))</f>
        <v>-4247.37</v>
      </c>
      <c r="M49" s="49"/>
      <c r="N49" s="49"/>
      <c r="O49" s="52"/>
      <c r="P49" s="52"/>
      <c r="Q49" s="52"/>
      <c r="R49" s="52"/>
      <c r="S49" s="52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 t="s">
        <v>190</v>
      </c>
      <c r="AG49" s="53" t="s">
        <v>188</v>
      </c>
      <c r="AH49" s="53"/>
      <c r="AI49" s="53">
        <f>0+0</f>
        <v>0</v>
      </c>
    </row>
    <row r="50" spans="1:35" ht="76.5" x14ac:dyDescent="0.2">
      <c r="A50" s="46">
        <v>24</v>
      </c>
      <c r="B50" s="47" t="s">
        <v>191</v>
      </c>
      <c r="C50" s="48" t="str">
        <f t="shared" ca="1" si="1"/>
        <v xml:space="preserve">Мастика битумная кровельная горячая
т
</v>
      </c>
      <c r="D50" s="46">
        <v>-0.83050000000000002</v>
      </c>
      <c r="E50" s="49">
        <v>3390</v>
      </c>
      <c r="F50" s="49"/>
      <c r="G50" s="49">
        <v>3390</v>
      </c>
      <c r="H50" s="50" t="s">
        <v>172</v>
      </c>
      <c r="I50" s="51">
        <v>-19142</v>
      </c>
      <c r="J50" s="49"/>
      <c r="K50" s="49"/>
      <c r="L50" s="49" t="str">
        <f>IF(-0.8305*3390=0," ",TEXT(,ROUND((-0.8305*3390*6.8),2)))</f>
        <v>-19144.69</v>
      </c>
      <c r="M50" s="49"/>
      <c r="N50" s="49"/>
      <c r="O50" s="52"/>
      <c r="P50" s="52"/>
      <c r="Q50" s="52"/>
      <c r="R50" s="52"/>
      <c r="S50" s="52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 t="s">
        <v>192</v>
      </c>
      <c r="AG50" s="53" t="s">
        <v>188</v>
      </c>
      <c r="AH50" s="53"/>
      <c r="AI50" s="53">
        <f>0+0</f>
        <v>0</v>
      </c>
    </row>
    <row r="51" spans="1:35" ht="63.75" x14ac:dyDescent="0.2">
      <c r="A51" s="46">
        <v>25</v>
      </c>
      <c r="B51" s="47" t="s">
        <v>193</v>
      </c>
      <c r="C51" s="48" t="str">
        <f t="shared" ca="1" si="1"/>
        <v xml:space="preserve">Плиты из минеральной ваты на синтетическом связующем М-125 (ГОСТ 9573-96)
м3
</v>
      </c>
      <c r="D51" s="46">
        <v>-25.53</v>
      </c>
      <c r="E51" s="49">
        <v>530</v>
      </c>
      <c r="F51" s="49"/>
      <c r="G51" s="49">
        <v>530</v>
      </c>
      <c r="H51" s="50" t="s">
        <v>194</v>
      </c>
      <c r="I51" s="51">
        <v>-79210</v>
      </c>
      <c r="J51" s="49"/>
      <c r="K51" s="49"/>
      <c r="L51" s="49" t="str">
        <f>IF(-25.53*530=0," ",TEXT(,ROUND((-25.53*530*5.854),2)))</f>
        <v>-79209.89</v>
      </c>
      <c r="M51" s="49"/>
      <c r="N51" s="49"/>
      <c r="O51" s="52"/>
      <c r="P51" s="52"/>
      <c r="Q51" s="52"/>
      <c r="R51" s="52"/>
      <c r="S51" s="52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 t="s">
        <v>195</v>
      </c>
      <c r="AG51" s="53" t="s">
        <v>196</v>
      </c>
      <c r="AH51" s="53"/>
      <c r="AI51" s="53">
        <f>0+0</f>
        <v>0</v>
      </c>
    </row>
    <row r="52" spans="1:35" ht="165.75" x14ac:dyDescent="0.2">
      <c r="A52" s="46">
        <v>26</v>
      </c>
      <c r="B52" s="47" t="s">
        <v>197</v>
      </c>
      <c r="C52" s="48" t="str">
        <f t="shared" ca="1" si="1"/>
        <v xml:space="preserve">Утепление покрытий плитами: на каждый последующий слой добавлять к расценке 12-01-013-03
100 м2 утепляемого покрытия
КОЭФ. К ПОЗИЦИИ:
Всего толщ. 200 мм ПЗ=3 (ОЗП=3; ЭМ=3 к расх.; ЗПМ=3; МАТ=3 к расх.; ТЗ=3; ТЗМ=3)
74066 руб. НР 92%=120%*(0,85*0,9) от ФОТ (80507 руб.)
35423 руб.СП 44%=65%*(0,8*0,85) от ФОТ (80507 руб.)
</v>
      </c>
      <c r="D52" s="46">
        <v>4.1318000000000001</v>
      </c>
      <c r="E52" s="49" t="s">
        <v>198</v>
      </c>
      <c r="F52" s="49" t="s">
        <v>199</v>
      </c>
      <c r="G52" s="49">
        <v>11870.37</v>
      </c>
      <c r="H52" s="50" t="s">
        <v>172</v>
      </c>
      <c r="I52" s="51">
        <v>429797</v>
      </c>
      <c r="J52" s="49">
        <v>78615</v>
      </c>
      <c r="K52" s="49" t="s">
        <v>200</v>
      </c>
      <c r="L52" s="49" t="str">
        <f>IF(4.1318*11870.37=0," ",TEXT(,ROUND((4.1318*11870.37*6.8),2)))</f>
        <v>333512.76</v>
      </c>
      <c r="M52" s="49" t="s">
        <v>201</v>
      </c>
      <c r="N52" s="49" t="s">
        <v>202</v>
      </c>
      <c r="O52" s="52"/>
      <c r="P52" s="52"/>
      <c r="Q52" s="52"/>
      <c r="R52" s="52"/>
      <c r="S52" s="52"/>
      <c r="T52" s="53"/>
      <c r="U52" s="53"/>
      <c r="V52" s="53"/>
      <c r="W52" s="53"/>
      <c r="X52" s="53"/>
      <c r="Y52" s="53"/>
      <c r="Z52" s="53"/>
      <c r="AA52" s="53" t="s">
        <v>176</v>
      </c>
      <c r="AB52" s="53" t="s">
        <v>177</v>
      </c>
      <c r="AC52" s="53">
        <v>74066</v>
      </c>
      <c r="AD52" s="53">
        <v>35423</v>
      </c>
      <c r="AE52" s="55" t="s">
        <v>203</v>
      </c>
      <c r="AF52" s="53" t="s">
        <v>204</v>
      </c>
      <c r="AG52" s="53" t="s">
        <v>179</v>
      </c>
      <c r="AH52" s="53"/>
      <c r="AI52" s="53">
        <f>78615+1892</f>
        <v>80507</v>
      </c>
    </row>
    <row r="53" spans="1:35" ht="51" x14ac:dyDescent="0.2">
      <c r="A53" s="46">
        <v>27</v>
      </c>
      <c r="B53" s="47" t="s">
        <v>180</v>
      </c>
      <c r="C53" s="48" t="str">
        <f t="shared" ca="1" si="1"/>
        <v xml:space="preserve">Котлы битумные передвижные 400 л
маш.-ч
</v>
      </c>
      <c r="D53" s="46">
        <v>-22.16</v>
      </c>
      <c r="E53" s="49">
        <v>30</v>
      </c>
      <c r="F53" s="49">
        <v>30</v>
      </c>
      <c r="G53" s="49"/>
      <c r="H53" s="50" t="s">
        <v>181</v>
      </c>
      <c r="I53" s="51">
        <v>-3611</v>
      </c>
      <c r="J53" s="49"/>
      <c r="K53" s="49">
        <v>-3611</v>
      </c>
      <c r="L53" s="49" t="str">
        <f>IF(-22.16*0=0," ",TEXT(,ROUND((-22.16*0*1),2)))</f>
        <v xml:space="preserve"> </v>
      </c>
      <c r="M53" s="49"/>
      <c r="N53" s="49"/>
      <c r="O53" s="52"/>
      <c r="P53" s="52"/>
      <c r="Q53" s="52"/>
      <c r="R53" s="52"/>
      <c r="S53" s="52"/>
      <c r="T53" s="53"/>
      <c r="U53" s="53"/>
      <c r="V53" s="53"/>
      <c r="W53" s="53"/>
      <c r="X53" s="53"/>
      <c r="Y53" s="53"/>
      <c r="Z53" s="53"/>
      <c r="AA53" s="53" t="s">
        <v>182</v>
      </c>
      <c r="AB53" s="53" t="s">
        <v>183</v>
      </c>
      <c r="AC53" s="53"/>
      <c r="AD53" s="53"/>
      <c r="AE53" s="53"/>
      <c r="AF53" s="53" t="s">
        <v>184</v>
      </c>
      <c r="AG53" s="53" t="s">
        <v>185</v>
      </c>
      <c r="AH53" s="53"/>
      <c r="AI53" s="53">
        <f>0+0</f>
        <v>0</v>
      </c>
    </row>
    <row r="54" spans="1:35" ht="76.5" x14ac:dyDescent="0.2">
      <c r="A54" s="46">
        <v>28</v>
      </c>
      <c r="B54" s="47" t="s">
        <v>191</v>
      </c>
      <c r="C54" s="48" t="str">
        <f t="shared" ca="1" si="1"/>
        <v xml:space="preserve">Мастика битумная кровельная горячая
т
</v>
      </c>
      <c r="D54" s="46">
        <v>-2.4910000000000001</v>
      </c>
      <c r="E54" s="49">
        <v>3390</v>
      </c>
      <c r="F54" s="49"/>
      <c r="G54" s="49">
        <v>3390</v>
      </c>
      <c r="H54" s="50" t="s">
        <v>172</v>
      </c>
      <c r="I54" s="51">
        <v>-57419</v>
      </c>
      <c r="J54" s="49"/>
      <c r="K54" s="49"/>
      <c r="L54" s="49" t="str">
        <f>IF(-2.491*3390=0," ",TEXT(,ROUND((-2.491*3390*6.8),2)))</f>
        <v>-57422.53</v>
      </c>
      <c r="M54" s="49"/>
      <c r="N54" s="49"/>
      <c r="O54" s="52"/>
      <c r="P54" s="52"/>
      <c r="Q54" s="52"/>
      <c r="R54" s="52"/>
      <c r="S54" s="52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 t="s">
        <v>192</v>
      </c>
      <c r="AG54" s="53" t="s">
        <v>188</v>
      </c>
      <c r="AH54" s="53"/>
      <c r="AI54" s="53">
        <f>0+0</f>
        <v>0</v>
      </c>
    </row>
    <row r="55" spans="1:35" ht="63.75" x14ac:dyDescent="0.2">
      <c r="A55" s="46">
        <v>29</v>
      </c>
      <c r="B55" s="47" t="s">
        <v>193</v>
      </c>
      <c r="C55" s="48" t="str">
        <f t="shared" ca="1" si="1"/>
        <v xml:space="preserve">Плиты из минеральной ваты на синтетическом связующем М-125 (ГОСТ 9573-96)
м3
</v>
      </c>
      <c r="D55" s="46">
        <v>-76.599999999999994</v>
      </c>
      <c r="E55" s="49">
        <v>530</v>
      </c>
      <c r="F55" s="49"/>
      <c r="G55" s="49">
        <v>530</v>
      </c>
      <c r="H55" s="50" t="s">
        <v>194</v>
      </c>
      <c r="I55" s="51">
        <v>-237661</v>
      </c>
      <c r="J55" s="49"/>
      <c r="K55" s="49"/>
      <c r="L55" s="49" t="str">
        <f>IF(-76.6*530=0," ",TEXT(,ROUND((-76.6*530*5.854),2)))</f>
        <v>-237660.69</v>
      </c>
      <c r="M55" s="49"/>
      <c r="N55" s="49"/>
      <c r="O55" s="52"/>
      <c r="P55" s="52"/>
      <c r="Q55" s="52"/>
      <c r="R55" s="52"/>
      <c r="S55" s="52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 t="s">
        <v>195</v>
      </c>
      <c r="AG55" s="53" t="s">
        <v>196</v>
      </c>
      <c r="AH55" s="53"/>
      <c r="AI55" s="53">
        <f>0+0</f>
        <v>0</v>
      </c>
    </row>
    <row r="56" spans="1:35" ht="165.75" x14ac:dyDescent="0.2">
      <c r="A56" s="46">
        <v>30</v>
      </c>
      <c r="B56" s="47" t="s">
        <v>205</v>
      </c>
      <c r="C56" s="48" t="str">
        <f t="shared" ca="1" si="1"/>
        <v xml:space="preserve">Утепление покрытий плитами: на каждый последующий слой добавлять к расценке 12-01-013-03 дополнительный слой по периметру
100 м2 утепляемого покрытия
КОЭФ. К ПОЗИЦИИ:
В 2 слоя ПЗ=2 (ОЗП=2; ЭМ=2 к расх.; ЗПМ=2; МАТ=2 к расх.; ТЗ=2; ТЗМ=2)
12320 руб. НР 92%=120%*(0,85*0,9) от ФОТ (13391 руб.)
5892 руб.СП 44%=65%*(0,8*0,85) от ФОТ (13391 руб.)
</v>
      </c>
      <c r="D56" s="46">
        <v>1.03</v>
      </c>
      <c r="E56" s="49" t="s">
        <v>206</v>
      </c>
      <c r="F56" s="49" t="s">
        <v>207</v>
      </c>
      <c r="G56" s="49">
        <v>7913.58</v>
      </c>
      <c r="H56" s="50" t="s">
        <v>172</v>
      </c>
      <c r="I56" s="51">
        <v>71441</v>
      </c>
      <c r="J56" s="49">
        <v>13078</v>
      </c>
      <c r="K56" s="49" t="s">
        <v>208</v>
      </c>
      <c r="L56" s="49" t="str">
        <f>IF(1.03*7913.58=0," ",TEXT(,ROUND((1.03*7913.58*6.8),2)))</f>
        <v>55426.71</v>
      </c>
      <c r="M56" s="49" t="s">
        <v>209</v>
      </c>
      <c r="N56" s="49" t="s">
        <v>210</v>
      </c>
      <c r="O56" s="52"/>
      <c r="P56" s="52"/>
      <c r="Q56" s="52"/>
      <c r="R56" s="52"/>
      <c r="S56" s="52"/>
      <c r="T56" s="53"/>
      <c r="U56" s="53"/>
      <c r="V56" s="53"/>
      <c r="W56" s="53"/>
      <c r="X56" s="53"/>
      <c r="Y56" s="53"/>
      <c r="Z56" s="53"/>
      <c r="AA56" s="53" t="s">
        <v>176</v>
      </c>
      <c r="AB56" s="53" t="s">
        <v>177</v>
      </c>
      <c r="AC56" s="53">
        <v>12320</v>
      </c>
      <c r="AD56" s="53">
        <v>5892</v>
      </c>
      <c r="AE56" s="55" t="s">
        <v>130</v>
      </c>
      <c r="AF56" s="53" t="s">
        <v>211</v>
      </c>
      <c r="AG56" s="53" t="s">
        <v>179</v>
      </c>
      <c r="AH56" s="53"/>
      <c r="AI56" s="53">
        <f>13078+313</f>
        <v>13391</v>
      </c>
    </row>
    <row r="57" spans="1:35" ht="51" x14ac:dyDescent="0.2">
      <c r="A57" s="46">
        <v>31</v>
      </c>
      <c r="B57" s="47" t="s">
        <v>180</v>
      </c>
      <c r="C57" s="48" t="str">
        <f t="shared" ca="1" si="1"/>
        <v xml:space="preserve">Котлы битумные передвижные 400 л
маш.-ч
</v>
      </c>
      <c r="D57" s="46">
        <v>-3.82</v>
      </c>
      <c r="E57" s="49">
        <v>30</v>
      </c>
      <c r="F57" s="49">
        <v>30</v>
      </c>
      <c r="G57" s="49"/>
      <c r="H57" s="50" t="s">
        <v>181</v>
      </c>
      <c r="I57" s="51">
        <v>-624</v>
      </c>
      <c r="J57" s="49"/>
      <c r="K57" s="49">
        <v>-624</v>
      </c>
      <c r="L57" s="49" t="str">
        <f>IF(-3.82*0=0," ",TEXT(,ROUND((-3.82*0*1),2)))</f>
        <v xml:space="preserve"> </v>
      </c>
      <c r="M57" s="49"/>
      <c r="N57" s="49"/>
      <c r="O57" s="52"/>
      <c r="P57" s="52"/>
      <c r="Q57" s="52"/>
      <c r="R57" s="52"/>
      <c r="S57" s="52"/>
      <c r="T57" s="53"/>
      <c r="U57" s="53"/>
      <c r="V57" s="53"/>
      <c r="W57" s="53"/>
      <c r="X57" s="53"/>
      <c r="Y57" s="53"/>
      <c r="Z57" s="53"/>
      <c r="AA57" s="53" t="s">
        <v>182</v>
      </c>
      <c r="AB57" s="53" t="s">
        <v>183</v>
      </c>
      <c r="AC57" s="53"/>
      <c r="AD57" s="53"/>
      <c r="AE57" s="53"/>
      <c r="AF57" s="53" t="s">
        <v>184</v>
      </c>
      <c r="AG57" s="53" t="s">
        <v>185</v>
      </c>
      <c r="AH57" s="53"/>
      <c r="AI57" s="53">
        <f>0+0</f>
        <v>0</v>
      </c>
    </row>
    <row r="58" spans="1:35" ht="76.5" x14ac:dyDescent="0.2">
      <c r="A58" s="46">
        <v>32</v>
      </c>
      <c r="B58" s="47" t="s">
        <v>191</v>
      </c>
      <c r="C58" s="48" t="str">
        <f t="shared" ca="1" si="1"/>
        <v xml:space="preserve">Мастика битумная кровельная горячая
т
</v>
      </c>
      <c r="D58" s="46">
        <v>-0.41410000000000002</v>
      </c>
      <c r="E58" s="49">
        <v>3390</v>
      </c>
      <c r="F58" s="49"/>
      <c r="G58" s="49">
        <v>3390</v>
      </c>
      <c r="H58" s="50" t="s">
        <v>172</v>
      </c>
      <c r="I58" s="51">
        <v>-9547</v>
      </c>
      <c r="J58" s="49"/>
      <c r="K58" s="49"/>
      <c r="L58" s="49" t="str">
        <f>IF(-0.4141*3390=0," ",TEXT(,ROUND((-0.4141*3390*6.8),2)))</f>
        <v>-9545.83</v>
      </c>
      <c r="M58" s="49"/>
      <c r="N58" s="49"/>
      <c r="O58" s="52"/>
      <c r="P58" s="52"/>
      <c r="Q58" s="52"/>
      <c r="R58" s="52"/>
      <c r="S58" s="52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 t="s">
        <v>192</v>
      </c>
      <c r="AG58" s="53" t="s">
        <v>188</v>
      </c>
      <c r="AH58" s="53"/>
      <c r="AI58" s="53">
        <f>0+0</f>
        <v>0</v>
      </c>
    </row>
    <row r="59" spans="1:35" ht="63.75" x14ac:dyDescent="0.2">
      <c r="A59" s="46">
        <v>33</v>
      </c>
      <c r="B59" s="47" t="s">
        <v>193</v>
      </c>
      <c r="C59" s="48" t="str">
        <f t="shared" ca="1" si="1"/>
        <v xml:space="preserve">Плиты из минеральной ваты на синтетическом связующем М-125 (ГОСТ 9573-96)
м3
</v>
      </c>
      <c r="D59" s="46">
        <v>-12.73</v>
      </c>
      <c r="E59" s="49">
        <v>530</v>
      </c>
      <c r="F59" s="49"/>
      <c r="G59" s="49">
        <v>530</v>
      </c>
      <c r="H59" s="50" t="s">
        <v>194</v>
      </c>
      <c r="I59" s="51">
        <v>-39497</v>
      </c>
      <c r="J59" s="49"/>
      <c r="K59" s="49"/>
      <c r="L59" s="49" t="str">
        <f>IF(-12.73*530=0," ",TEXT(,ROUND((-12.73*530*5.854),2)))</f>
        <v>-39496.35</v>
      </c>
      <c r="M59" s="49"/>
      <c r="N59" s="49"/>
      <c r="O59" s="52"/>
      <c r="P59" s="52"/>
      <c r="Q59" s="52"/>
      <c r="R59" s="52"/>
      <c r="S59" s="52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 t="s">
        <v>195</v>
      </c>
      <c r="AG59" s="53" t="s">
        <v>196</v>
      </c>
      <c r="AH59" s="53"/>
      <c r="AI59" s="53">
        <f>0+0</f>
        <v>0</v>
      </c>
    </row>
    <row r="60" spans="1:35" ht="76.5" x14ac:dyDescent="0.2">
      <c r="A60" s="46">
        <v>34</v>
      </c>
      <c r="B60" s="47" t="s">
        <v>212</v>
      </c>
      <c r="C60" s="48" t="str">
        <f t="shared" ca="1" si="1"/>
        <v xml:space="preserve">Плиты теплоизоляционные энергетические гидрофобизированные базальтовые: ПТЭ-125 , размером 2000х1000х50 мм 3828,81/5,58=686,17
м3
</v>
      </c>
      <c r="D60" s="46" t="s">
        <v>213</v>
      </c>
      <c r="E60" s="49">
        <v>686.17</v>
      </c>
      <c r="F60" s="49"/>
      <c r="G60" s="49">
        <v>686.17</v>
      </c>
      <c r="H60" s="50" t="s">
        <v>167</v>
      </c>
      <c r="I60" s="51">
        <v>366372</v>
      </c>
      <c r="J60" s="49"/>
      <c r="K60" s="49"/>
      <c r="L60" s="49" t="str">
        <f>IF(95.687*686.17=0," ",TEXT(,ROUND((95.687*686.17*5.58),2)))</f>
        <v>366369.12</v>
      </c>
      <c r="M60" s="49"/>
      <c r="N60" s="49"/>
      <c r="O60" s="52"/>
      <c r="P60" s="52"/>
      <c r="Q60" s="52"/>
      <c r="R60" s="52"/>
      <c r="S60" s="52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 t="s">
        <v>214</v>
      </c>
      <c r="AG60" s="53" t="s">
        <v>196</v>
      </c>
      <c r="AH60" s="53"/>
      <c r="AI60" s="53">
        <f>0+0</f>
        <v>0</v>
      </c>
    </row>
    <row r="61" spans="1:35" ht="89.25" x14ac:dyDescent="0.2">
      <c r="A61" s="46">
        <v>35</v>
      </c>
      <c r="B61" s="47" t="s">
        <v>159</v>
      </c>
      <c r="C61" s="48" t="str">
        <f t="shared" ca="1" si="1"/>
        <v xml:space="preserve">Устройство покрытия из рулонных материалов: насухо без промазки кромок
100 м2 кровли
1752 руб. НР 71%=83%*0,85 от ФОТ (2468 руб.)
1283 руб.СП 52%=65%*0,8 от ФОТ (2468 руб.)
</v>
      </c>
      <c r="D61" s="46">
        <v>4.1319999999999997</v>
      </c>
      <c r="E61" s="49" t="s">
        <v>160</v>
      </c>
      <c r="F61" s="49">
        <v>5.23</v>
      </c>
      <c r="G61" s="49">
        <v>883.33</v>
      </c>
      <c r="H61" s="50" t="s">
        <v>161</v>
      </c>
      <c r="I61" s="51">
        <v>20968</v>
      </c>
      <c r="J61" s="49">
        <v>2468</v>
      </c>
      <c r="K61" s="49">
        <v>251</v>
      </c>
      <c r="L61" s="49" t="str">
        <f>IF(4.132*883.33=0," ",TEXT(,ROUND((4.132*883.33*5),2)))</f>
        <v>18249.6</v>
      </c>
      <c r="M61" s="49">
        <v>4.5199999999999996</v>
      </c>
      <c r="N61" s="49">
        <v>18.68</v>
      </c>
      <c r="O61" s="52"/>
      <c r="P61" s="52"/>
      <c r="Q61" s="52"/>
      <c r="R61" s="52"/>
      <c r="S61" s="52"/>
      <c r="T61" s="53"/>
      <c r="U61" s="53"/>
      <c r="V61" s="53"/>
      <c r="W61" s="53"/>
      <c r="X61" s="53"/>
      <c r="Y61" s="53"/>
      <c r="Z61" s="53"/>
      <c r="AA61" s="53" t="s">
        <v>43</v>
      </c>
      <c r="AB61" s="53" t="s">
        <v>44</v>
      </c>
      <c r="AC61" s="53">
        <v>1752</v>
      </c>
      <c r="AD61" s="53">
        <v>1283</v>
      </c>
      <c r="AE61" s="53"/>
      <c r="AF61" s="53" t="s">
        <v>162</v>
      </c>
      <c r="AG61" s="53" t="s">
        <v>60</v>
      </c>
      <c r="AH61" s="53"/>
      <c r="AI61" s="53">
        <f>2468+0</f>
        <v>2468</v>
      </c>
    </row>
    <row r="62" spans="1:35" ht="48.75" customHeight="1" x14ac:dyDescent="0.2">
      <c r="A62" s="46">
        <v>36</v>
      </c>
      <c r="B62" s="47" t="s">
        <v>163</v>
      </c>
      <c r="C62" s="48" t="str">
        <f t="shared" ca="1" si="1"/>
        <v xml:space="preserve">Рубероид кровельный с крупнозернистой посыпкой марки: РКК-350б
м2
</v>
      </c>
      <c r="D62" s="46">
        <v>-475.2</v>
      </c>
      <c r="E62" s="49">
        <v>7.46</v>
      </c>
      <c r="F62" s="49"/>
      <c r="G62" s="49">
        <v>7.46</v>
      </c>
      <c r="H62" s="50" t="s">
        <v>164</v>
      </c>
      <c r="I62" s="51">
        <v>-17721</v>
      </c>
      <c r="J62" s="49"/>
      <c r="K62" s="49"/>
      <c r="L62" s="49" t="str">
        <f>IF(-475.2*7.46=0," ",TEXT(,ROUND((-475.2*7.46*4.999),2)))</f>
        <v>-17721.42</v>
      </c>
      <c r="M62" s="49"/>
      <c r="N62" s="49"/>
      <c r="O62" s="52"/>
      <c r="P62" s="52"/>
      <c r="Q62" s="52"/>
      <c r="R62" s="52"/>
      <c r="S62" s="52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 t="s">
        <v>165</v>
      </c>
      <c r="AG62" s="53" t="s">
        <v>139</v>
      </c>
      <c r="AH62" s="53"/>
      <c r="AI62" s="53">
        <f>0+0</f>
        <v>0</v>
      </c>
    </row>
    <row r="63" spans="1:35" ht="50.25" customHeight="1" x14ac:dyDescent="0.2">
      <c r="A63" s="46">
        <v>37</v>
      </c>
      <c r="B63" s="47" t="s">
        <v>215</v>
      </c>
      <c r="C63" s="48" t="str">
        <f t="shared" ca="1" si="1"/>
        <v xml:space="preserve">Изоспан: Защитный материал марки А 19,42/5,58=3,48
м2
</v>
      </c>
      <c r="D63" s="46">
        <v>475.2</v>
      </c>
      <c r="E63" s="49">
        <v>3.48</v>
      </c>
      <c r="F63" s="49"/>
      <c r="G63" s="49">
        <v>3.48</v>
      </c>
      <c r="H63" s="50" t="s">
        <v>167</v>
      </c>
      <c r="I63" s="51">
        <v>9229</v>
      </c>
      <c r="J63" s="49"/>
      <c r="K63" s="49"/>
      <c r="L63" s="49" t="str">
        <f>IF(475.2*3.48=0," ",TEXT(,ROUND((475.2*3.48*5.58),2)))</f>
        <v>9227.62</v>
      </c>
      <c r="M63" s="49"/>
      <c r="N63" s="49"/>
      <c r="O63" s="52"/>
      <c r="P63" s="52"/>
      <c r="Q63" s="52"/>
      <c r="R63" s="52"/>
      <c r="S63" s="52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 t="s">
        <v>216</v>
      </c>
      <c r="AG63" s="53" t="s">
        <v>139</v>
      </c>
      <c r="AH63" s="53"/>
      <c r="AI63" s="53">
        <f>0+0</f>
        <v>0</v>
      </c>
    </row>
    <row r="64" spans="1:35" ht="74.25" customHeight="1" x14ac:dyDescent="0.2">
      <c r="A64" s="46">
        <v>38</v>
      </c>
      <c r="B64" s="47" t="s">
        <v>217</v>
      </c>
      <c r="C64" s="48" t="str">
        <f t="shared" ca="1" si="1"/>
        <v xml:space="preserve">Укладка ходовых досок
100 м ходов
193 руб. НР 90%=118%*(0,85*0,9) от ФОТ (214 руб.)
92 руб.СП 43%=63%*(0,8*0,85) от ФОТ (214 руб.)
</v>
      </c>
      <c r="D64" s="46">
        <v>0.33</v>
      </c>
      <c r="E64" s="49" t="s">
        <v>218</v>
      </c>
      <c r="F64" s="49" t="s">
        <v>219</v>
      </c>
      <c r="G64" s="49">
        <v>1007.15</v>
      </c>
      <c r="H64" s="50" t="s">
        <v>220</v>
      </c>
      <c r="I64" s="51">
        <v>2041</v>
      </c>
      <c r="J64" s="49">
        <v>214</v>
      </c>
      <c r="K64" s="49">
        <v>54</v>
      </c>
      <c r="L64" s="49" t="str">
        <f>IF(0.33*1007.15=0," ",TEXT(,ROUND((0.33*1007.15*5.34),2)))</f>
        <v>1774.8</v>
      </c>
      <c r="M64" s="49" t="s">
        <v>221</v>
      </c>
      <c r="N64" s="49" t="s">
        <v>222</v>
      </c>
      <c r="O64" s="52"/>
      <c r="P64" s="52"/>
      <c r="Q64" s="52"/>
      <c r="R64" s="52"/>
      <c r="S64" s="52"/>
      <c r="T64" s="53"/>
      <c r="U64" s="53"/>
      <c r="V64" s="53"/>
      <c r="W64" s="53"/>
      <c r="X64" s="53"/>
      <c r="Y64" s="53"/>
      <c r="Z64" s="53"/>
      <c r="AA64" s="53" t="s">
        <v>71</v>
      </c>
      <c r="AB64" s="53" t="s">
        <v>72</v>
      </c>
      <c r="AC64" s="53">
        <v>193</v>
      </c>
      <c r="AD64" s="53">
        <v>92</v>
      </c>
      <c r="AE64" s="53"/>
      <c r="AF64" s="53" t="s">
        <v>223</v>
      </c>
      <c r="AG64" s="53" t="s">
        <v>224</v>
      </c>
      <c r="AH64" s="53"/>
      <c r="AI64" s="53">
        <f>214+0</f>
        <v>214</v>
      </c>
    </row>
    <row r="65" spans="1:35" ht="76.5" x14ac:dyDescent="0.2">
      <c r="A65" s="46">
        <v>39</v>
      </c>
      <c r="B65" s="47" t="s">
        <v>225</v>
      </c>
      <c r="C65" s="48" t="str">
        <f t="shared" ca="1" si="1"/>
        <v xml:space="preserve">Доски необрезные хвойных пород длиной: 4-6,5 м, все ширины, толщиной 32-40 мм, III сорта добор до проектного объема
м3
</v>
      </c>
      <c r="D65" s="46">
        <v>0.27400000000000002</v>
      </c>
      <c r="E65" s="49">
        <v>832.7</v>
      </c>
      <c r="F65" s="49"/>
      <c r="G65" s="49">
        <v>832.7</v>
      </c>
      <c r="H65" s="50" t="s">
        <v>226</v>
      </c>
      <c r="I65" s="51">
        <v>1222</v>
      </c>
      <c r="J65" s="49"/>
      <c r="K65" s="49"/>
      <c r="L65" s="49" t="str">
        <f>IF(0.274*832.7=0," ",TEXT(,ROUND((0.274*832.7*5.359),2)))</f>
        <v>1222.71</v>
      </c>
      <c r="M65" s="49"/>
      <c r="N65" s="49"/>
      <c r="O65" s="52"/>
      <c r="P65" s="52"/>
      <c r="Q65" s="52"/>
      <c r="R65" s="52"/>
      <c r="S65" s="52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 t="s">
        <v>227</v>
      </c>
      <c r="AG65" s="53" t="s">
        <v>196</v>
      </c>
      <c r="AH65" s="53"/>
      <c r="AI65" s="53">
        <f>0+0</f>
        <v>0</v>
      </c>
    </row>
    <row r="66" spans="1:35" ht="75" customHeight="1" x14ac:dyDescent="0.2">
      <c r="A66" s="46">
        <v>40</v>
      </c>
      <c r="B66" s="47" t="s">
        <v>228</v>
      </c>
      <c r="C66" s="48" t="str">
        <f t="shared" ca="1" si="1"/>
        <v xml:space="preserve">Установка каркаса из брусьев для навесов и крылец
1 м3
696 руб. НР 90%=118%*(0,85*0,9) от ФОТ (773 руб.)
332 руб.СП 43%=63%*(0,8*0,85) от ФОТ (773 руб.)
</v>
      </c>
      <c r="D66" s="46">
        <v>0.1</v>
      </c>
      <c r="E66" s="49" t="s">
        <v>229</v>
      </c>
      <c r="F66" s="49" t="s">
        <v>230</v>
      </c>
      <c r="G66" s="49">
        <v>2404.8000000000002</v>
      </c>
      <c r="H66" s="50" t="s">
        <v>231</v>
      </c>
      <c r="I66" s="51">
        <v>1519</v>
      </c>
      <c r="J66" s="49">
        <v>773</v>
      </c>
      <c r="K66" s="49">
        <v>54</v>
      </c>
      <c r="L66" s="49" t="str">
        <f>IF(0.1*2404.8=0," ",TEXT(,ROUND((0.1*2404.8*2.88),2)))</f>
        <v>692.58</v>
      </c>
      <c r="M66" s="49" t="s">
        <v>232</v>
      </c>
      <c r="N66" s="49" t="s">
        <v>233</v>
      </c>
      <c r="O66" s="52"/>
      <c r="P66" s="52"/>
      <c r="Q66" s="52"/>
      <c r="R66" s="52"/>
      <c r="S66" s="52"/>
      <c r="T66" s="53"/>
      <c r="U66" s="53"/>
      <c r="V66" s="53"/>
      <c r="W66" s="53"/>
      <c r="X66" s="53"/>
      <c r="Y66" s="53"/>
      <c r="Z66" s="53"/>
      <c r="AA66" s="53" t="s">
        <v>71</v>
      </c>
      <c r="AB66" s="53" t="s">
        <v>72</v>
      </c>
      <c r="AC66" s="53">
        <v>696</v>
      </c>
      <c r="AD66" s="53">
        <v>332</v>
      </c>
      <c r="AE66" s="53"/>
      <c r="AF66" s="53" t="s">
        <v>234</v>
      </c>
      <c r="AG66" s="53" t="s">
        <v>85</v>
      </c>
      <c r="AH66" s="53"/>
      <c r="AI66" s="53">
        <f>773+0</f>
        <v>773</v>
      </c>
    </row>
    <row r="67" spans="1:35" ht="96.75" customHeight="1" x14ac:dyDescent="0.2">
      <c r="A67" s="46">
        <v>41</v>
      </c>
      <c r="B67" s="47" t="s">
        <v>235</v>
      </c>
      <c r="C67" s="48" t="str">
        <f t="shared" ca="1" si="1"/>
        <v xml:space="preserve">Монтаж: конструкций дверей, люков, лазов для автокоптилок и пароварочных камер
1 т конструкций
1600 руб. НР 69%=90%*(0,85*0,9) от ФОТ (2319 руб.)
1345 руб.СП 58%=85%*(0,8*0,85) от ФОТ (2319 руб.)
</v>
      </c>
      <c r="D67" s="46">
        <v>0.16</v>
      </c>
      <c r="E67" s="49" t="s">
        <v>236</v>
      </c>
      <c r="F67" s="49" t="s">
        <v>237</v>
      </c>
      <c r="G67" s="49">
        <v>36.57</v>
      </c>
      <c r="H67" s="50" t="s">
        <v>238</v>
      </c>
      <c r="I67" s="51">
        <v>2553</v>
      </c>
      <c r="J67" s="49">
        <v>2303</v>
      </c>
      <c r="K67" s="49" t="s">
        <v>239</v>
      </c>
      <c r="L67" s="49" t="str">
        <f>IF(0.16*36.57=0," ",TEXT(,ROUND((0.16*36.57*5.35),2)))</f>
        <v>31.3</v>
      </c>
      <c r="M67" s="49" t="s">
        <v>240</v>
      </c>
      <c r="N67" s="49" t="s">
        <v>241</v>
      </c>
      <c r="O67" s="52"/>
      <c r="P67" s="52"/>
      <c r="Q67" s="52"/>
      <c r="R67" s="52"/>
      <c r="S67" s="52"/>
      <c r="T67" s="53"/>
      <c r="U67" s="53"/>
      <c r="V67" s="53"/>
      <c r="W67" s="53"/>
      <c r="X67" s="53"/>
      <c r="Y67" s="53"/>
      <c r="Z67" s="53"/>
      <c r="AA67" s="53" t="s">
        <v>242</v>
      </c>
      <c r="AB67" s="53" t="s">
        <v>243</v>
      </c>
      <c r="AC67" s="53">
        <v>1600</v>
      </c>
      <c r="AD67" s="53">
        <v>1345</v>
      </c>
      <c r="AE67" s="53"/>
      <c r="AF67" s="53" t="s">
        <v>244</v>
      </c>
      <c r="AG67" s="53" t="s">
        <v>245</v>
      </c>
      <c r="AH67" s="53"/>
      <c r="AI67" s="53">
        <f>2303+16</f>
        <v>2319</v>
      </c>
    </row>
    <row r="68" spans="1:35" ht="48" customHeight="1" x14ac:dyDescent="0.2">
      <c r="A68" s="56">
        <v>42</v>
      </c>
      <c r="B68" s="57" t="s">
        <v>246</v>
      </c>
      <c r="C68" s="58" t="str">
        <f t="shared" ca="1" si="1"/>
        <v xml:space="preserve">Люки противопожарные: ЛПМ 01/60, 900х1100 мм  вес люка 80 кг. 9521,46/5,58=1706,35
шт.
</v>
      </c>
      <c r="D68" s="56">
        <v>2</v>
      </c>
      <c r="E68" s="59">
        <v>1706.35</v>
      </c>
      <c r="F68" s="59"/>
      <c r="G68" s="59">
        <v>1706.35</v>
      </c>
      <c r="H68" s="60" t="s">
        <v>167</v>
      </c>
      <c r="I68" s="61">
        <v>19045</v>
      </c>
      <c r="J68" s="59"/>
      <c r="K68" s="59"/>
      <c r="L68" s="59" t="str">
        <f>IF(2*1706.35=0," ",TEXT(,ROUND((2*1706.35*5.58),2)))</f>
        <v>19042.87</v>
      </c>
      <c r="M68" s="59"/>
      <c r="N68" s="59"/>
      <c r="O68" s="52"/>
      <c r="P68" s="52"/>
      <c r="Q68" s="52"/>
      <c r="R68" s="52"/>
      <c r="S68" s="52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 t="s">
        <v>247</v>
      </c>
      <c r="AG68" s="53" t="s">
        <v>248</v>
      </c>
      <c r="AH68" s="53"/>
      <c r="AI68" s="53">
        <f>0+0</f>
        <v>0</v>
      </c>
    </row>
    <row r="69" spans="1:35" ht="25.5" x14ac:dyDescent="0.2">
      <c r="A69" s="69" t="s">
        <v>112</v>
      </c>
      <c r="B69" s="64"/>
      <c r="C69" s="64"/>
      <c r="D69" s="64"/>
      <c r="E69" s="64"/>
      <c r="F69" s="64"/>
      <c r="G69" s="64"/>
      <c r="H69" s="64"/>
      <c r="I69" s="51">
        <v>122658</v>
      </c>
      <c r="J69" s="49">
        <v>11628</v>
      </c>
      <c r="K69" s="49" t="s">
        <v>249</v>
      </c>
      <c r="L69" s="49">
        <v>108448</v>
      </c>
      <c r="M69" s="49"/>
      <c r="N69" s="49" t="s">
        <v>250</v>
      </c>
      <c r="O69" s="18"/>
      <c r="P69" s="19"/>
      <c r="Q69" s="18"/>
      <c r="R69" s="18"/>
      <c r="S69" s="18"/>
    </row>
    <row r="70" spans="1:35" ht="25.5" x14ac:dyDescent="0.2">
      <c r="A70" s="69" t="s">
        <v>251</v>
      </c>
      <c r="B70" s="64"/>
      <c r="C70" s="64"/>
      <c r="D70" s="64"/>
      <c r="E70" s="64"/>
      <c r="F70" s="64"/>
      <c r="G70" s="64"/>
      <c r="H70" s="64"/>
      <c r="I70" s="51">
        <v>125253</v>
      </c>
      <c r="J70" s="49">
        <v>13323</v>
      </c>
      <c r="K70" s="49" t="s">
        <v>252</v>
      </c>
      <c r="L70" s="49">
        <v>108448</v>
      </c>
      <c r="M70" s="49"/>
      <c r="N70" s="49" t="s">
        <v>253</v>
      </c>
      <c r="O70" s="18"/>
      <c r="P70" s="19"/>
      <c r="Q70" s="18"/>
      <c r="R70" s="18"/>
      <c r="S70" s="18"/>
    </row>
    <row r="71" spans="1:35" x14ac:dyDescent="0.2">
      <c r="A71" s="69" t="s">
        <v>254</v>
      </c>
      <c r="B71" s="64"/>
      <c r="C71" s="64"/>
      <c r="D71" s="64"/>
      <c r="E71" s="64"/>
      <c r="F71" s="64"/>
      <c r="G71" s="64"/>
      <c r="H71" s="64"/>
      <c r="I71" s="51"/>
      <c r="J71" s="49"/>
      <c r="K71" s="49"/>
      <c r="L71" s="49"/>
      <c r="M71" s="49"/>
      <c r="N71" s="49"/>
      <c r="O71" s="18"/>
      <c r="P71" s="19"/>
      <c r="Q71" s="18"/>
      <c r="R71" s="18"/>
      <c r="S71" s="18"/>
    </row>
    <row r="72" spans="1:35" ht="27.95" customHeight="1" x14ac:dyDescent="0.2">
      <c r="A72" s="69" t="s">
        <v>255</v>
      </c>
      <c r="B72" s="64"/>
      <c r="C72" s="64"/>
      <c r="D72" s="64"/>
      <c r="E72" s="64"/>
      <c r="F72" s="64"/>
      <c r="G72" s="64"/>
      <c r="H72" s="64"/>
      <c r="I72" s="51">
        <v>2595</v>
      </c>
      <c r="J72" s="49">
        <v>1694</v>
      </c>
      <c r="K72" s="49" t="s">
        <v>256</v>
      </c>
      <c r="L72" s="49"/>
      <c r="M72" s="49"/>
      <c r="N72" s="49" t="s">
        <v>257</v>
      </c>
      <c r="O72" s="18"/>
      <c r="P72" s="19"/>
      <c r="Q72" s="18"/>
      <c r="R72" s="18"/>
      <c r="S72" s="18"/>
    </row>
    <row r="73" spans="1:35" ht="25.5" x14ac:dyDescent="0.2">
      <c r="A73" s="69" t="s">
        <v>115</v>
      </c>
      <c r="B73" s="64"/>
      <c r="C73" s="64"/>
      <c r="D73" s="64"/>
      <c r="E73" s="64"/>
      <c r="F73" s="64"/>
      <c r="G73" s="64"/>
      <c r="H73" s="64"/>
      <c r="I73" s="51">
        <v>892578</v>
      </c>
      <c r="J73" s="49">
        <v>219163</v>
      </c>
      <c r="K73" s="49" t="s">
        <v>258</v>
      </c>
      <c r="L73" s="49">
        <v>635277</v>
      </c>
      <c r="M73" s="49"/>
      <c r="N73" s="49" t="s">
        <v>253</v>
      </c>
      <c r="O73" s="18"/>
      <c r="P73" s="19"/>
      <c r="Q73" s="18"/>
      <c r="R73" s="18"/>
      <c r="S73" s="18"/>
    </row>
    <row r="74" spans="1:35" x14ac:dyDescent="0.2">
      <c r="A74" s="69" t="s">
        <v>117</v>
      </c>
      <c r="B74" s="64"/>
      <c r="C74" s="64"/>
      <c r="D74" s="64"/>
      <c r="E74" s="64"/>
      <c r="F74" s="64"/>
      <c r="G74" s="64"/>
      <c r="H74" s="64"/>
      <c r="I74" s="51">
        <v>206589</v>
      </c>
      <c r="J74" s="49"/>
      <c r="K74" s="49"/>
      <c r="L74" s="49"/>
      <c r="M74" s="49"/>
      <c r="N74" s="49"/>
      <c r="O74" s="18"/>
      <c r="P74" s="19"/>
      <c r="Q74" s="18"/>
      <c r="R74" s="18"/>
      <c r="S74" s="18"/>
    </row>
    <row r="75" spans="1:35" x14ac:dyDescent="0.2">
      <c r="A75" s="69" t="s">
        <v>118</v>
      </c>
      <c r="B75" s="64"/>
      <c r="C75" s="64"/>
      <c r="D75" s="64"/>
      <c r="E75" s="64"/>
      <c r="F75" s="64"/>
      <c r="G75" s="64"/>
      <c r="H75" s="64"/>
      <c r="I75" s="51">
        <v>105942</v>
      </c>
      <c r="J75" s="49"/>
      <c r="K75" s="49"/>
      <c r="L75" s="49"/>
      <c r="M75" s="49"/>
      <c r="N75" s="49"/>
      <c r="O75" s="18"/>
      <c r="P75" s="19"/>
      <c r="Q75" s="18"/>
      <c r="R75" s="18"/>
      <c r="S75" s="18"/>
    </row>
    <row r="76" spans="1:35" ht="25.5" x14ac:dyDescent="0.2">
      <c r="A76" s="67" t="s">
        <v>259</v>
      </c>
      <c r="B76" s="68"/>
      <c r="C76" s="68"/>
      <c r="D76" s="68"/>
      <c r="E76" s="68"/>
      <c r="F76" s="68"/>
      <c r="G76" s="68"/>
      <c r="H76" s="68"/>
      <c r="I76" s="61">
        <v>1205109</v>
      </c>
      <c r="J76" s="59"/>
      <c r="K76" s="59"/>
      <c r="L76" s="59"/>
      <c r="M76" s="59"/>
      <c r="N76" s="59" t="s">
        <v>253</v>
      </c>
      <c r="O76" s="18"/>
      <c r="P76" s="19"/>
      <c r="Q76" s="18"/>
      <c r="R76" s="18"/>
      <c r="S76" s="18"/>
    </row>
    <row r="77" spans="1:35" ht="21" customHeight="1" x14ac:dyDescent="0.2">
      <c r="A77" s="70" t="s">
        <v>260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</row>
    <row r="78" spans="1:35" ht="102" x14ac:dyDescent="0.2">
      <c r="A78" s="46">
        <v>43</v>
      </c>
      <c r="B78" s="47" t="s">
        <v>261</v>
      </c>
      <c r="C78" s="48" t="str">
        <f t="shared" ref="C78:C119" ca="1" si="2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Ремонт деревянных элементов конструкций крыш: укрепление стропильных ног расшивкой досками с двух сторон
100 м
3013 руб. НР 71%=83%*0,85 от ФОТ (4244 руб.)
2207 руб.СП 52%=65%*0,8 от ФОТ (4244 руб.)
</v>
      </c>
      <c r="D78" s="46">
        <v>0.76</v>
      </c>
      <c r="E78" s="49" t="s">
        <v>262</v>
      </c>
      <c r="F78" s="49">
        <v>31.6</v>
      </c>
      <c r="G78" s="49">
        <v>3227.16</v>
      </c>
      <c r="H78" s="50" t="s">
        <v>263</v>
      </c>
      <c r="I78" s="51">
        <v>14300</v>
      </c>
      <c r="J78" s="49">
        <v>4244</v>
      </c>
      <c r="K78" s="49">
        <v>269</v>
      </c>
      <c r="L78" s="49" t="str">
        <f>IF(0.76*3227.16=0," ",TEXT(,ROUND((0.76*3227.16*3.99),2)))</f>
        <v>9786.04</v>
      </c>
      <c r="M78" s="49">
        <v>39.869999999999997</v>
      </c>
      <c r="N78" s="49">
        <v>30.3</v>
      </c>
      <c r="O78" s="52"/>
      <c r="P78" s="52"/>
      <c r="Q78" s="52"/>
      <c r="R78" s="52"/>
      <c r="S78" s="52"/>
      <c r="T78" s="53"/>
      <c r="U78" s="53"/>
      <c r="V78" s="53"/>
      <c r="W78" s="53"/>
      <c r="X78" s="53"/>
      <c r="Y78" s="53"/>
      <c r="Z78" s="53"/>
      <c r="AA78" s="53" t="s">
        <v>43</v>
      </c>
      <c r="AB78" s="53" t="s">
        <v>44</v>
      </c>
      <c r="AC78" s="53">
        <v>3013</v>
      </c>
      <c r="AD78" s="53">
        <v>2207</v>
      </c>
      <c r="AE78" s="53"/>
      <c r="AF78" s="53" t="s">
        <v>264</v>
      </c>
      <c r="AG78" s="53" t="s">
        <v>265</v>
      </c>
      <c r="AH78" s="53"/>
      <c r="AI78" s="53">
        <f>4244+0</f>
        <v>4244</v>
      </c>
    </row>
    <row r="79" spans="1:35" ht="89.25" x14ac:dyDescent="0.2">
      <c r="A79" s="46">
        <v>44</v>
      </c>
      <c r="B79" s="47" t="s">
        <v>266</v>
      </c>
      <c r="C79" s="48" t="str">
        <f t="shared" ca="1" si="2"/>
        <v xml:space="preserve">Ремонт деревянных элементов конструкций крыш: смена стропильных ног из досок
100 м
8362 руб. НР 71%=83%*0,85 от ФОТ (11778 руб.)
6125 руб.СП 52%=65%*0,8 от ФОТ (11778 руб.)
</v>
      </c>
      <c r="D79" s="46">
        <v>0.63</v>
      </c>
      <c r="E79" s="49" t="s">
        <v>267</v>
      </c>
      <c r="F79" s="49">
        <v>17.45</v>
      </c>
      <c r="G79" s="49">
        <v>1568.5</v>
      </c>
      <c r="H79" s="50" t="s">
        <v>268</v>
      </c>
      <c r="I79" s="51">
        <v>15714</v>
      </c>
      <c r="J79" s="49">
        <v>11778</v>
      </c>
      <c r="K79" s="49">
        <v>122</v>
      </c>
      <c r="L79" s="49" t="str">
        <f>IF(0.63*1568.5=0," ",TEXT(,ROUND((0.63*1568.5*3.86),2)))</f>
        <v>3814.28</v>
      </c>
      <c r="M79" s="49">
        <v>133.25</v>
      </c>
      <c r="N79" s="49">
        <v>83.95</v>
      </c>
      <c r="O79" s="52"/>
      <c r="P79" s="52"/>
      <c r="Q79" s="52"/>
      <c r="R79" s="52"/>
      <c r="S79" s="52"/>
      <c r="T79" s="53"/>
      <c r="U79" s="53"/>
      <c r="V79" s="53"/>
      <c r="W79" s="53"/>
      <c r="X79" s="53"/>
      <c r="Y79" s="53"/>
      <c r="Z79" s="53"/>
      <c r="AA79" s="53" t="s">
        <v>43</v>
      </c>
      <c r="AB79" s="53" t="s">
        <v>44</v>
      </c>
      <c r="AC79" s="53">
        <v>8362</v>
      </c>
      <c r="AD79" s="53">
        <v>6125</v>
      </c>
      <c r="AE79" s="53"/>
      <c r="AF79" s="53" t="s">
        <v>269</v>
      </c>
      <c r="AG79" s="53" t="s">
        <v>265</v>
      </c>
      <c r="AH79" s="53"/>
      <c r="AI79" s="53">
        <f>11778+0</f>
        <v>11778</v>
      </c>
    </row>
    <row r="80" spans="1:35" ht="102" x14ac:dyDescent="0.2">
      <c r="A80" s="46">
        <v>45</v>
      </c>
      <c r="B80" s="47" t="s">
        <v>270</v>
      </c>
      <c r="C80" s="48" t="str">
        <f t="shared" ca="1" si="2"/>
        <v xml:space="preserve">Ремонт деревянных элементов конструкций крыш: выправка деревянных стропильных ног с постановкой раскосов
1 шт.
2499 руб. НР 71%=83%*0,85 от ФОТ (3520 руб.)
1830 руб.СП 52%=65%*0,8 от ФОТ (3520 руб.)
</v>
      </c>
      <c r="D80" s="46">
        <v>18</v>
      </c>
      <c r="E80" s="49" t="s">
        <v>271</v>
      </c>
      <c r="F80" s="49">
        <v>24.4</v>
      </c>
      <c r="G80" s="49">
        <v>43.4</v>
      </c>
      <c r="H80" s="50" t="s">
        <v>272</v>
      </c>
      <c r="I80" s="51">
        <v>11303</v>
      </c>
      <c r="J80" s="49">
        <v>3520</v>
      </c>
      <c r="K80" s="49">
        <v>4908</v>
      </c>
      <c r="L80" s="49" t="str">
        <f>IF(18*43.4=0," ",TEXT(,ROUND((18*43.4*3.68),2)))</f>
        <v>2874.82</v>
      </c>
      <c r="M80" s="49">
        <v>1.42</v>
      </c>
      <c r="N80" s="49">
        <v>25.56</v>
      </c>
      <c r="O80" s="52"/>
      <c r="P80" s="52"/>
      <c r="Q80" s="52"/>
      <c r="R80" s="52"/>
      <c r="S80" s="52"/>
      <c r="T80" s="53"/>
      <c r="U80" s="53"/>
      <c r="V80" s="53"/>
      <c r="W80" s="53"/>
      <c r="X80" s="53"/>
      <c r="Y80" s="53"/>
      <c r="Z80" s="53"/>
      <c r="AA80" s="53" t="s">
        <v>43</v>
      </c>
      <c r="AB80" s="53" t="s">
        <v>44</v>
      </c>
      <c r="AC80" s="53">
        <v>2499</v>
      </c>
      <c r="AD80" s="53">
        <v>1830</v>
      </c>
      <c r="AE80" s="53"/>
      <c r="AF80" s="53" t="s">
        <v>273</v>
      </c>
      <c r="AG80" s="53" t="s">
        <v>274</v>
      </c>
      <c r="AH80" s="53"/>
      <c r="AI80" s="53">
        <f>3520+0</f>
        <v>3520</v>
      </c>
    </row>
    <row r="81" spans="1:35" ht="102" x14ac:dyDescent="0.2">
      <c r="A81" s="46">
        <v>46</v>
      </c>
      <c r="B81" s="47" t="s">
        <v>275</v>
      </c>
      <c r="C81" s="48" t="str">
        <f t="shared" ca="1" si="2"/>
        <v xml:space="preserve">Установка стропил с кобылками
1 м3 древесины в конструкции
9535 руб. НР 90%=118%*(0,85*0,9) от ФОТ (10594 руб.)
4555 руб.СП 43%=63%*(0,8*0,85) от ФОТ (10594 руб.)
</v>
      </c>
      <c r="D81" s="46">
        <v>2.76</v>
      </c>
      <c r="E81" s="49" t="s">
        <v>276</v>
      </c>
      <c r="F81" s="49" t="s">
        <v>277</v>
      </c>
      <c r="G81" s="49">
        <v>2062.2600000000002</v>
      </c>
      <c r="H81" s="50" t="s">
        <v>278</v>
      </c>
      <c r="I81" s="51">
        <v>32992</v>
      </c>
      <c r="J81" s="49">
        <v>10462</v>
      </c>
      <c r="K81" s="49" t="s">
        <v>279</v>
      </c>
      <c r="L81" s="49" t="str">
        <f>IF(2.76*2062.26=0," ",TEXT(,ROUND((2.76*2062.26*3.71),2)))</f>
        <v>21116.72</v>
      </c>
      <c r="M81" s="49" t="s">
        <v>280</v>
      </c>
      <c r="N81" s="49" t="s">
        <v>281</v>
      </c>
      <c r="O81" s="52"/>
      <c r="P81" s="52"/>
      <c r="Q81" s="52"/>
      <c r="R81" s="52"/>
      <c r="S81" s="52"/>
      <c r="T81" s="53"/>
      <c r="U81" s="53"/>
      <c r="V81" s="53"/>
      <c r="W81" s="53"/>
      <c r="X81" s="53"/>
      <c r="Y81" s="53"/>
      <c r="Z81" s="53"/>
      <c r="AA81" s="53" t="s">
        <v>71</v>
      </c>
      <c r="AB81" s="53" t="s">
        <v>72</v>
      </c>
      <c r="AC81" s="53">
        <v>9535</v>
      </c>
      <c r="AD81" s="53">
        <v>4555</v>
      </c>
      <c r="AE81" s="53"/>
      <c r="AF81" s="53" t="s">
        <v>282</v>
      </c>
      <c r="AG81" s="53" t="s">
        <v>283</v>
      </c>
      <c r="AH81" s="53"/>
      <c r="AI81" s="53">
        <f>10462+132</f>
        <v>10594</v>
      </c>
    </row>
    <row r="82" spans="1:35" ht="102" x14ac:dyDescent="0.2">
      <c r="A82" s="46">
        <v>47</v>
      </c>
      <c r="B82" s="47" t="s">
        <v>284</v>
      </c>
      <c r="C82" s="48" t="str">
        <f t="shared" ca="1" si="2"/>
        <v xml:space="preserve">Установка элементов каркаса: из брусьев
1 м3 древесины в конструкции
8957 руб. НР 90%=118%*(0,85*0,9) от ФОТ (9952 руб.)
4279 руб.СП 43%=63%*(0,8*0,85) от ФОТ (9952 руб.)
</v>
      </c>
      <c r="D82" s="46">
        <v>2.7890000000000001</v>
      </c>
      <c r="E82" s="49" t="s">
        <v>285</v>
      </c>
      <c r="F82" s="49">
        <v>33.51</v>
      </c>
      <c r="G82" s="49">
        <v>2189</v>
      </c>
      <c r="H82" s="50" t="s">
        <v>286</v>
      </c>
      <c r="I82" s="51">
        <v>31811</v>
      </c>
      <c r="J82" s="49">
        <v>9952</v>
      </c>
      <c r="K82" s="49">
        <v>1285</v>
      </c>
      <c r="L82" s="49" t="str">
        <f>IF(2.789*2189=0," ",TEXT(,ROUND((2.789*2189*3.37),2)))</f>
        <v>20574.26</v>
      </c>
      <c r="M82" s="49">
        <v>22.5</v>
      </c>
      <c r="N82" s="49">
        <v>62.75</v>
      </c>
      <c r="O82" s="52"/>
      <c r="P82" s="52"/>
      <c r="Q82" s="52"/>
      <c r="R82" s="52"/>
      <c r="S82" s="52"/>
      <c r="T82" s="53"/>
      <c r="U82" s="53"/>
      <c r="V82" s="53"/>
      <c r="W82" s="53"/>
      <c r="X82" s="53"/>
      <c r="Y82" s="53"/>
      <c r="Z82" s="53"/>
      <c r="AA82" s="53" t="s">
        <v>71</v>
      </c>
      <c r="AB82" s="53" t="s">
        <v>72</v>
      </c>
      <c r="AC82" s="53">
        <v>8957</v>
      </c>
      <c r="AD82" s="53">
        <v>4279</v>
      </c>
      <c r="AE82" s="53"/>
      <c r="AF82" s="53" t="s">
        <v>287</v>
      </c>
      <c r="AG82" s="53" t="s">
        <v>283</v>
      </c>
      <c r="AH82" s="53"/>
      <c r="AI82" s="53">
        <f>9952+0</f>
        <v>9952</v>
      </c>
    </row>
    <row r="83" spans="1:35" ht="76.5" x14ac:dyDescent="0.2">
      <c r="A83" s="46">
        <v>48</v>
      </c>
      <c r="B83" s="47" t="s">
        <v>288</v>
      </c>
      <c r="C83" s="48" t="str">
        <f t="shared" ca="1" si="2"/>
        <v xml:space="preserve">Устройство обрешетки сплошной из досок
100 м2
10663 руб. НР 71%=83%*0,85 от ФОТ (15018 руб.)
7809 руб.СП 52%=65%*0,8 от ФОТ (15018 руб.)
</v>
      </c>
      <c r="D83" s="46">
        <v>3.5312999999999999</v>
      </c>
      <c r="E83" s="49" t="s">
        <v>289</v>
      </c>
      <c r="F83" s="49" t="s">
        <v>290</v>
      </c>
      <c r="G83" s="49">
        <v>2198.6799999999998</v>
      </c>
      <c r="H83" s="50" t="s">
        <v>291</v>
      </c>
      <c r="I83" s="51">
        <v>58894</v>
      </c>
      <c r="J83" s="49">
        <v>14673</v>
      </c>
      <c r="K83" s="49" t="s">
        <v>292</v>
      </c>
      <c r="L83" s="49" t="str">
        <f>IF(3.5313*2198.68=0," ",TEXT(,ROUND((3.5313*2198.68*5.51),2)))</f>
        <v>42780.73</v>
      </c>
      <c r="M83" s="49" t="s">
        <v>293</v>
      </c>
      <c r="N83" s="49" t="s">
        <v>294</v>
      </c>
      <c r="O83" s="52"/>
      <c r="P83" s="52"/>
      <c r="Q83" s="52"/>
      <c r="R83" s="52"/>
      <c r="S83" s="52"/>
      <c r="T83" s="53"/>
      <c r="U83" s="53"/>
      <c r="V83" s="53"/>
      <c r="W83" s="53"/>
      <c r="X83" s="53"/>
      <c r="Y83" s="53"/>
      <c r="Z83" s="53"/>
      <c r="AA83" s="53" t="s">
        <v>43</v>
      </c>
      <c r="AB83" s="53" t="s">
        <v>44</v>
      </c>
      <c r="AC83" s="53">
        <v>10663</v>
      </c>
      <c r="AD83" s="53">
        <v>7809</v>
      </c>
      <c r="AE83" s="53"/>
      <c r="AF83" s="53" t="s">
        <v>295</v>
      </c>
      <c r="AG83" s="53" t="s">
        <v>135</v>
      </c>
      <c r="AH83" s="53"/>
      <c r="AI83" s="53">
        <f>14673+345</f>
        <v>15018</v>
      </c>
    </row>
    <row r="84" spans="1:35" ht="63.75" x14ac:dyDescent="0.2">
      <c r="A84" s="46">
        <v>49</v>
      </c>
      <c r="B84" s="47" t="s">
        <v>296</v>
      </c>
      <c r="C84" s="48" t="str">
        <f t="shared" ca="1" si="2"/>
        <v xml:space="preserve">Доски обрезные хвойных пород длиной: 4-6,5 м, шириной 75-150 мм, толщиной 25 мм, II сорта
м3
</v>
      </c>
      <c r="D84" s="46">
        <v>9.3230000000000004</v>
      </c>
      <c r="E84" s="49">
        <v>1375</v>
      </c>
      <c r="F84" s="49"/>
      <c r="G84" s="49">
        <v>1375</v>
      </c>
      <c r="H84" s="50" t="s">
        <v>297</v>
      </c>
      <c r="I84" s="51">
        <v>51148</v>
      </c>
      <c r="J84" s="49"/>
      <c r="K84" s="49"/>
      <c r="L84" s="49" t="str">
        <f>IF(9.323*1375=0," ",TEXT(,ROUND((9.323*1375*3.99),2)))</f>
        <v>51148.31</v>
      </c>
      <c r="M84" s="49"/>
      <c r="N84" s="49"/>
      <c r="O84" s="52"/>
      <c r="P84" s="52"/>
      <c r="Q84" s="52"/>
      <c r="R84" s="52"/>
      <c r="S84" s="52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 t="s">
        <v>298</v>
      </c>
      <c r="AG84" s="53" t="s">
        <v>196</v>
      </c>
      <c r="AH84" s="53"/>
      <c r="AI84" s="53">
        <f>0+0</f>
        <v>0</v>
      </c>
    </row>
    <row r="85" spans="1:35" ht="89.25" x14ac:dyDescent="0.2">
      <c r="A85" s="46">
        <v>50</v>
      </c>
      <c r="B85" s="47" t="s">
        <v>299</v>
      </c>
      <c r="C85" s="48" t="str">
        <f t="shared" ca="1" si="2"/>
        <v xml:space="preserve">Устройство обрешетки с прозорами из досок и брусков под кровлю: из листовой стали
100 м2
5116 руб. НР 71%=83%*0,85 от ФОТ (7205 руб.)
3747 руб.СП 52%=65%*0,8 от ФОТ (7205 руб.)
</v>
      </c>
      <c r="D85" s="46">
        <v>2.5217000000000001</v>
      </c>
      <c r="E85" s="49" t="s">
        <v>300</v>
      </c>
      <c r="F85" s="49" t="s">
        <v>301</v>
      </c>
      <c r="G85" s="49">
        <v>1570.73</v>
      </c>
      <c r="H85" s="50" t="s">
        <v>302</v>
      </c>
      <c r="I85" s="51">
        <v>28478</v>
      </c>
      <c r="J85" s="49">
        <v>7024</v>
      </c>
      <c r="K85" s="49" t="s">
        <v>303</v>
      </c>
      <c r="L85" s="49" t="str">
        <f>IF(2.5217*1570.73=0," ",TEXT(,ROUND((2.5217*1570.73*5.25),2)))</f>
        <v>20794.78</v>
      </c>
      <c r="M85" s="49" t="s">
        <v>304</v>
      </c>
      <c r="N85" s="49" t="s">
        <v>305</v>
      </c>
      <c r="O85" s="52"/>
      <c r="P85" s="52"/>
      <c r="Q85" s="52"/>
      <c r="R85" s="52"/>
      <c r="S85" s="52"/>
      <c r="T85" s="53"/>
      <c r="U85" s="53"/>
      <c r="V85" s="53"/>
      <c r="W85" s="53"/>
      <c r="X85" s="53"/>
      <c r="Y85" s="53"/>
      <c r="Z85" s="53"/>
      <c r="AA85" s="53" t="s">
        <v>43</v>
      </c>
      <c r="AB85" s="53" t="s">
        <v>44</v>
      </c>
      <c r="AC85" s="53">
        <v>5116</v>
      </c>
      <c r="AD85" s="53">
        <v>3747</v>
      </c>
      <c r="AE85" s="53"/>
      <c r="AF85" s="53" t="s">
        <v>306</v>
      </c>
      <c r="AG85" s="53" t="s">
        <v>135</v>
      </c>
      <c r="AH85" s="53"/>
      <c r="AI85" s="53">
        <f>7024+181</f>
        <v>7205</v>
      </c>
    </row>
    <row r="86" spans="1:35" ht="63.75" x14ac:dyDescent="0.2">
      <c r="A86" s="46">
        <v>51</v>
      </c>
      <c r="B86" s="47" t="s">
        <v>307</v>
      </c>
      <c r="C86" s="48" t="str">
        <f t="shared" ca="1" si="2"/>
        <v xml:space="preserve">Доски обрезные хвойных пород длиной: 4-6,5 м, шириной 75-150 мм, толщиной 32-40 мм, II сорта
м3
</v>
      </c>
      <c r="D86" s="46">
        <v>1.135</v>
      </c>
      <c r="E86" s="49">
        <v>1430</v>
      </c>
      <c r="F86" s="49"/>
      <c r="G86" s="49">
        <v>1430</v>
      </c>
      <c r="H86" s="50" t="s">
        <v>308</v>
      </c>
      <c r="I86" s="51">
        <v>6226</v>
      </c>
      <c r="J86" s="49"/>
      <c r="K86" s="49"/>
      <c r="L86" s="49" t="str">
        <f>IF(1.135*1430=0," ",TEXT(,ROUND((1.135*1430*3.836),2)))</f>
        <v>6226.02</v>
      </c>
      <c r="M86" s="49"/>
      <c r="N86" s="49"/>
      <c r="O86" s="52"/>
      <c r="P86" s="52"/>
      <c r="Q86" s="52"/>
      <c r="R86" s="52"/>
      <c r="S86" s="52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 t="s">
        <v>309</v>
      </c>
      <c r="AG86" s="53" t="s">
        <v>196</v>
      </c>
      <c r="AH86" s="53"/>
      <c r="AI86" s="53">
        <f>0+0</f>
        <v>0</v>
      </c>
    </row>
    <row r="87" spans="1:35" ht="114.75" x14ac:dyDescent="0.2">
      <c r="A87" s="46">
        <v>52</v>
      </c>
      <c r="B87" s="47" t="s">
        <v>310</v>
      </c>
      <c r="C87" s="48" t="str">
        <f t="shared" ca="1" si="2"/>
        <v xml:space="preserve">Устройство: карнизов
100 м2 стен, фронтонов (за вычетом проемов) и развернутых поверхностей карнизов
23970 руб. НР 90%=118%*(0,85*0,9) от ФОТ (26633 руб.)
11452 руб.СП 43%=63%*(0,8*0,85) от ФОТ (26633 руб.)
</v>
      </c>
      <c r="D87" s="46">
        <v>1.1539999999999999</v>
      </c>
      <c r="E87" s="49" t="s">
        <v>311</v>
      </c>
      <c r="F87" s="49">
        <v>79.81</v>
      </c>
      <c r="G87" s="49">
        <v>4013.93</v>
      </c>
      <c r="H87" s="50" t="s">
        <v>70</v>
      </c>
      <c r="I87" s="51">
        <v>58093</v>
      </c>
      <c r="J87" s="49">
        <v>26633</v>
      </c>
      <c r="K87" s="49">
        <v>1306</v>
      </c>
      <c r="L87" s="49" t="str">
        <f>IF(1.154*4013.93=0," ",TEXT(,ROUND((1.154*4013.93*6.51),2)))</f>
        <v>30154.81</v>
      </c>
      <c r="M87" s="49">
        <v>143</v>
      </c>
      <c r="N87" s="49">
        <v>165.02</v>
      </c>
      <c r="O87" s="52"/>
      <c r="P87" s="52"/>
      <c r="Q87" s="52"/>
      <c r="R87" s="52"/>
      <c r="S87" s="52"/>
      <c r="T87" s="53"/>
      <c r="U87" s="53"/>
      <c r="V87" s="53"/>
      <c r="W87" s="53"/>
      <c r="X87" s="53"/>
      <c r="Y87" s="53"/>
      <c r="Z87" s="53"/>
      <c r="AA87" s="53" t="s">
        <v>71</v>
      </c>
      <c r="AB87" s="53" t="s">
        <v>72</v>
      </c>
      <c r="AC87" s="53">
        <v>23970</v>
      </c>
      <c r="AD87" s="53">
        <v>11452</v>
      </c>
      <c r="AE87" s="53"/>
      <c r="AF87" s="53" t="s">
        <v>312</v>
      </c>
      <c r="AG87" s="53" t="s">
        <v>75</v>
      </c>
      <c r="AH87" s="53"/>
      <c r="AI87" s="53">
        <f>26633+0</f>
        <v>26633</v>
      </c>
    </row>
    <row r="88" spans="1:35" ht="89.25" x14ac:dyDescent="0.2">
      <c r="A88" s="46">
        <v>53</v>
      </c>
      <c r="B88" s="47" t="s">
        <v>159</v>
      </c>
      <c r="C88" s="48" t="str">
        <f t="shared" ca="1" si="2"/>
        <v xml:space="preserve">Устройство покрытия из рулонных материалов: насухо без промазки кромок
100 м2 кровли
2488 руб. НР 71%=83%*0,85 от ФОТ (3504 руб.)
1822 руб.СП 52%=65%*0,8 от ФОТ (3504 руб.)
</v>
      </c>
      <c r="D88" s="46">
        <v>5.87</v>
      </c>
      <c r="E88" s="49" t="s">
        <v>160</v>
      </c>
      <c r="F88" s="49">
        <v>5.23</v>
      </c>
      <c r="G88" s="49">
        <v>883.33</v>
      </c>
      <c r="H88" s="50" t="s">
        <v>161</v>
      </c>
      <c r="I88" s="51">
        <v>29783</v>
      </c>
      <c r="J88" s="49">
        <v>3504</v>
      </c>
      <c r="K88" s="49">
        <v>354</v>
      </c>
      <c r="L88" s="49" t="str">
        <f>IF(5.87*883.33=0," ",TEXT(,ROUND((5.87*883.33*5),2)))</f>
        <v>25925.74</v>
      </c>
      <c r="M88" s="49">
        <v>4.5199999999999996</v>
      </c>
      <c r="N88" s="49">
        <v>26.53</v>
      </c>
      <c r="O88" s="52"/>
      <c r="P88" s="52"/>
      <c r="Q88" s="52"/>
      <c r="R88" s="52"/>
      <c r="S88" s="52"/>
      <c r="T88" s="53"/>
      <c r="U88" s="53"/>
      <c r="V88" s="53"/>
      <c r="W88" s="53"/>
      <c r="X88" s="53"/>
      <c r="Y88" s="53"/>
      <c r="Z88" s="53"/>
      <c r="AA88" s="53" t="s">
        <v>43</v>
      </c>
      <c r="AB88" s="53" t="s">
        <v>44</v>
      </c>
      <c r="AC88" s="53">
        <v>2488</v>
      </c>
      <c r="AD88" s="53">
        <v>1822</v>
      </c>
      <c r="AE88" s="53"/>
      <c r="AF88" s="53" t="s">
        <v>162</v>
      </c>
      <c r="AG88" s="53" t="s">
        <v>60</v>
      </c>
      <c r="AH88" s="53"/>
      <c r="AI88" s="53">
        <f>3504+0</f>
        <v>3504</v>
      </c>
    </row>
    <row r="89" spans="1:35" ht="63.75" x14ac:dyDescent="0.2">
      <c r="A89" s="46">
        <v>54</v>
      </c>
      <c r="B89" s="47" t="s">
        <v>163</v>
      </c>
      <c r="C89" s="48" t="str">
        <f t="shared" ca="1" si="2"/>
        <v xml:space="preserve">Рубероид кровельный с крупнозернистой посыпкой марки: РКК-350б
м2
</v>
      </c>
      <c r="D89" s="46">
        <v>-675.1</v>
      </c>
      <c r="E89" s="49">
        <v>7.46</v>
      </c>
      <c r="F89" s="49"/>
      <c r="G89" s="49">
        <v>7.46</v>
      </c>
      <c r="H89" s="50" t="s">
        <v>164</v>
      </c>
      <c r="I89" s="51">
        <v>-25175</v>
      </c>
      <c r="J89" s="49"/>
      <c r="K89" s="49"/>
      <c r="L89" s="49" t="str">
        <f>IF(-675.1*7.46=0," ",TEXT(,ROUND((-675.1*7.46*4.999),2)))</f>
        <v>-25176.19</v>
      </c>
      <c r="M89" s="49"/>
      <c r="N89" s="49"/>
      <c r="O89" s="52"/>
      <c r="P89" s="52"/>
      <c r="Q89" s="52"/>
      <c r="R89" s="52"/>
      <c r="S89" s="52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 t="s">
        <v>165</v>
      </c>
      <c r="AG89" s="53" t="s">
        <v>139</v>
      </c>
      <c r="AH89" s="53"/>
      <c r="AI89" s="53">
        <f>0+0</f>
        <v>0</v>
      </c>
    </row>
    <row r="90" spans="1:35" ht="63.75" x14ac:dyDescent="0.2">
      <c r="A90" s="46">
        <v>55</v>
      </c>
      <c r="B90" s="47" t="s">
        <v>313</v>
      </c>
      <c r="C90" s="48" t="str">
        <f t="shared" ca="1" si="2"/>
        <v xml:space="preserve">Изоспан: Защитный материал марки D  18,31/5,58=3,28
м2
</v>
      </c>
      <c r="D90" s="46">
        <v>675.1</v>
      </c>
      <c r="E90" s="49">
        <v>3.28</v>
      </c>
      <c r="F90" s="49"/>
      <c r="G90" s="49">
        <v>3.28</v>
      </c>
      <c r="H90" s="50" t="s">
        <v>167</v>
      </c>
      <c r="I90" s="51">
        <v>12354</v>
      </c>
      <c r="J90" s="49"/>
      <c r="K90" s="49"/>
      <c r="L90" s="49" t="str">
        <f>IF(675.1*3.28=0," ",TEXT(,ROUND((675.1*3.28*5.58),2)))</f>
        <v>12355.95</v>
      </c>
      <c r="M90" s="49"/>
      <c r="N90" s="49"/>
      <c r="O90" s="52"/>
      <c r="P90" s="52"/>
      <c r="Q90" s="52"/>
      <c r="R90" s="52"/>
      <c r="S90" s="52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 t="s">
        <v>314</v>
      </c>
      <c r="AG90" s="53" t="s">
        <v>139</v>
      </c>
      <c r="AH90" s="53"/>
      <c r="AI90" s="53">
        <f>0+0</f>
        <v>0</v>
      </c>
    </row>
    <row r="91" spans="1:35" ht="102" x14ac:dyDescent="0.2">
      <c r="A91" s="46">
        <v>56</v>
      </c>
      <c r="B91" s="47" t="s">
        <v>315</v>
      </c>
      <c r="C91" s="48" t="str">
        <f t="shared" ca="1" si="2"/>
        <v xml:space="preserve">Устройство слуховых окон
1 слуховое окно
1985 руб. НР 90%=118%*(0,85*0,9) от ФОТ (2205 руб.)
948 руб.СП 43%=63%*(0,8*0,85) от ФОТ (2205 руб.)
</v>
      </c>
      <c r="D91" s="46">
        <v>2</v>
      </c>
      <c r="E91" s="49" t="s">
        <v>316</v>
      </c>
      <c r="F91" s="49" t="s">
        <v>317</v>
      </c>
      <c r="G91" s="49">
        <v>300.2</v>
      </c>
      <c r="H91" s="50" t="s">
        <v>318</v>
      </c>
      <c r="I91" s="51">
        <v>5923</v>
      </c>
      <c r="J91" s="49">
        <v>2139</v>
      </c>
      <c r="K91" s="49" t="s">
        <v>319</v>
      </c>
      <c r="L91" s="49" t="str">
        <f>IF(2*300.2=0," ",TEXT(,ROUND((2*300.2*5.3),2)))</f>
        <v>3182.12</v>
      </c>
      <c r="M91" s="49" t="s">
        <v>320</v>
      </c>
      <c r="N91" s="49" t="s">
        <v>321</v>
      </c>
      <c r="O91" s="52"/>
      <c r="P91" s="52"/>
      <c r="Q91" s="52"/>
      <c r="R91" s="52"/>
      <c r="S91" s="52"/>
      <c r="T91" s="53"/>
      <c r="U91" s="53"/>
      <c r="V91" s="53"/>
      <c r="W91" s="53"/>
      <c r="X91" s="53"/>
      <c r="Y91" s="53"/>
      <c r="Z91" s="53"/>
      <c r="AA91" s="53" t="s">
        <v>71</v>
      </c>
      <c r="AB91" s="53" t="s">
        <v>72</v>
      </c>
      <c r="AC91" s="53">
        <v>1985</v>
      </c>
      <c r="AD91" s="53">
        <v>948</v>
      </c>
      <c r="AE91" s="53"/>
      <c r="AF91" s="53" t="s">
        <v>322</v>
      </c>
      <c r="AG91" s="53" t="s">
        <v>323</v>
      </c>
      <c r="AH91" s="53"/>
      <c r="AI91" s="53">
        <f>2139+66</f>
        <v>2205</v>
      </c>
    </row>
    <row r="92" spans="1:35" ht="51" x14ac:dyDescent="0.2">
      <c r="A92" s="46">
        <v>57</v>
      </c>
      <c r="B92" s="47" t="s">
        <v>324</v>
      </c>
      <c r="C92" s="48" t="str">
        <f t="shared" ca="1" si="2"/>
        <v xml:space="preserve">Петли форточные накладные размером 70х55 мм
компл.
</v>
      </c>
      <c r="D92" s="46">
        <v>2</v>
      </c>
      <c r="E92" s="49">
        <v>3.74</v>
      </c>
      <c r="F92" s="49"/>
      <c r="G92" s="49">
        <v>3.74</v>
      </c>
      <c r="H92" s="50" t="s">
        <v>325</v>
      </c>
      <c r="I92" s="51">
        <v>16</v>
      </c>
      <c r="J92" s="49"/>
      <c r="K92" s="49"/>
      <c r="L92" s="49" t="str">
        <f>IF(2*3.74=0," ",TEXT(,ROUND((2*3.74*2.337),2)))</f>
        <v>17.48</v>
      </c>
      <c r="M92" s="49"/>
      <c r="N92" s="49"/>
      <c r="O92" s="52"/>
      <c r="P92" s="52"/>
      <c r="Q92" s="52"/>
      <c r="R92" s="52"/>
      <c r="S92" s="52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 t="s">
        <v>326</v>
      </c>
      <c r="AG92" s="53" t="s">
        <v>327</v>
      </c>
      <c r="AH92" s="53"/>
      <c r="AI92" s="53">
        <f>0+0</f>
        <v>0</v>
      </c>
    </row>
    <row r="93" spans="1:35" ht="63.75" x14ac:dyDescent="0.2">
      <c r="A93" s="46">
        <v>58</v>
      </c>
      <c r="B93" s="47" t="s">
        <v>328</v>
      </c>
      <c r="C93" s="48" t="str">
        <f t="shared" ca="1" si="2"/>
        <v xml:space="preserve">Шпингалеты дверные размером 230х26 мм, оцинкованные или окрашенные
компл.
</v>
      </c>
      <c r="D93" s="46">
        <v>2</v>
      </c>
      <c r="E93" s="49">
        <v>13.42</v>
      </c>
      <c r="F93" s="49"/>
      <c r="G93" s="49">
        <v>13.42</v>
      </c>
      <c r="H93" s="50" t="s">
        <v>329</v>
      </c>
      <c r="I93" s="51">
        <v>52</v>
      </c>
      <c r="J93" s="49"/>
      <c r="K93" s="49"/>
      <c r="L93" s="49" t="str">
        <f>IF(2*13.42=0," ",TEXT(,ROUND((2*13.42*1.941),2)))</f>
        <v>52.1</v>
      </c>
      <c r="M93" s="49"/>
      <c r="N93" s="49"/>
      <c r="O93" s="52"/>
      <c r="P93" s="52"/>
      <c r="Q93" s="52"/>
      <c r="R93" s="52"/>
      <c r="S93" s="52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 t="s">
        <v>330</v>
      </c>
      <c r="AG93" s="53" t="s">
        <v>327</v>
      </c>
      <c r="AH93" s="53"/>
      <c r="AI93" s="53">
        <f>0+0</f>
        <v>0</v>
      </c>
    </row>
    <row r="94" spans="1:35" ht="165.75" x14ac:dyDescent="0.2">
      <c r="A94" s="46">
        <v>59</v>
      </c>
      <c r="B94" s="47" t="s">
        <v>331</v>
      </c>
      <c r="C94" s="48" t="str">
        <f t="shared" ca="1" si="2"/>
        <v xml:space="preserve"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второй группы огнезащитной эффективности по НПБ251
100 м2 обрабатываемой поверхности
15516 руб. НР 77%=100%*(0,85*0,9) от ФОТ (20151 руб.)
9672 руб.СП 48%=70%*(0,8*0,85) от ФОТ (20151 руб.)
</v>
      </c>
      <c r="D94" s="46">
        <v>12.6</v>
      </c>
      <c r="E94" s="49" t="s">
        <v>332</v>
      </c>
      <c r="F94" s="49" t="s">
        <v>333</v>
      </c>
      <c r="G94" s="49">
        <v>1.83</v>
      </c>
      <c r="H94" s="50" t="s">
        <v>334</v>
      </c>
      <c r="I94" s="51">
        <v>33342</v>
      </c>
      <c r="J94" s="49">
        <v>19888</v>
      </c>
      <c r="K94" s="49" t="s">
        <v>335</v>
      </c>
      <c r="L94" s="49" t="str">
        <f>IF(12.6*1.83=0," ",TEXT(,ROUND((12.6*1.83*19.16),2)))</f>
        <v>441.79</v>
      </c>
      <c r="M94" s="49" t="s">
        <v>336</v>
      </c>
      <c r="N94" s="49" t="s">
        <v>337</v>
      </c>
      <c r="O94" s="52"/>
      <c r="P94" s="52"/>
      <c r="Q94" s="52"/>
      <c r="R94" s="52"/>
      <c r="S94" s="52"/>
      <c r="T94" s="53"/>
      <c r="U94" s="53"/>
      <c r="V94" s="53"/>
      <c r="W94" s="53"/>
      <c r="X94" s="53"/>
      <c r="Y94" s="53"/>
      <c r="Z94" s="53"/>
      <c r="AA94" s="53" t="s">
        <v>338</v>
      </c>
      <c r="AB94" s="53" t="s">
        <v>34</v>
      </c>
      <c r="AC94" s="53">
        <v>15516</v>
      </c>
      <c r="AD94" s="53">
        <v>9672</v>
      </c>
      <c r="AE94" s="53"/>
      <c r="AF94" s="53" t="s">
        <v>339</v>
      </c>
      <c r="AG94" s="53" t="s">
        <v>340</v>
      </c>
      <c r="AH94" s="53"/>
      <c r="AI94" s="53">
        <f>19888+263</f>
        <v>20151</v>
      </c>
    </row>
    <row r="95" spans="1:35" ht="63.75" x14ac:dyDescent="0.2">
      <c r="A95" s="46">
        <v>60</v>
      </c>
      <c r="B95" s="47" t="s">
        <v>341</v>
      </c>
      <c r="C95" s="48" t="str">
        <f t="shared" ca="1" si="2"/>
        <v xml:space="preserve">Антисептик-антипирен «ПИРИЛАКС-ТЕРМА» для древесины
кг
</v>
      </c>
      <c r="D95" s="46">
        <v>260.8</v>
      </c>
      <c r="E95" s="49">
        <v>15.16</v>
      </c>
      <c r="F95" s="49"/>
      <c r="G95" s="49">
        <v>15.16</v>
      </c>
      <c r="H95" s="50" t="s">
        <v>342</v>
      </c>
      <c r="I95" s="51">
        <v>42296</v>
      </c>
      <c r="J95" s="49"/>
      <c r="K95" s="49"/>
      <c r="L95" s="49" t="str">
        <f>IF(260.8*15.16=0," ",TEXT(,ROUND((260.8*15.16*10.697),2)))</f>
        <v>42293.03</v>
      </c>
      <c r="M95" s="49"/>
      <c r="N95" s="49"/>
      <c r="O95" s="52"/>
      <c r="P95" s="52"/>
      <c r="Q95" s="52"/>
      <c r="R95" s="52"/>
      <c r="S95" s="52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 t="s">
        <v>343</v>
      </c>
      <c r="AG95" s="53" t="s">
        <v>344</v>
      </c>
      <c r="AH95" s="53"/>
      <c r="AI95" s="53">
        <f>0+0</f>
        <v>0</v>
      </c>
    </row>
    <row r="96" spans="1:35" ht="114.75" x14ac:dyDescent="0.2">
      <c r="A96" s="46">
        <v>61</v>
      </c>
      <c r="B96" s="47" t="s">
        <v>345</v>
      </c>
      <c r="C96" s="48" t="str">
        <f t="shared" ca="1" si="2"/>
        <v xml:space="preserve">Устройство кровли из металлочерепицы по готовым прогонам: средней сложности
100 м2 кровли
37593 руб. НР 92%=120%*(0,85*0,9) от ФОТ (40862 руб.)
17979 руб.СП 44%=65%*(0,8*0,85) от ФОТ (40862 руб.)
</v>
      </c>
      <c r="D96" s="46">
        <v>5.87</v>
      </c>
      <c r="E96" s="49" t="s">
        <v>346</v>
      </c>
      <c r="F96" s="49" t="s">
        <v>347</v>
      </c>
      <c r="G96" s="49">
        <v>9946</v>
      </c>
      <c r="H96" s="50" t="s">
        <v>348</v>
      </c>
      <c r="I96" s="51">
        <v>259122</v>
      </c>
      <c r="J96" s="49">
        <v>39562</v>
      </c>
      <c r="K96" s="49" t="s">
        <v>349</v>
      </c>
      <c r="L96" s="49" t="str">
        <f>IF(5.87*9946=0," ",TEXT(,ROUND((5.87*9946*3.6),2)))</f>
        <v>210178.87</v>
      </c>
      <c r="M96" s="49" t="s">
        <v>350</v>
      </c>
      <c r="N96" s="49" t="s">
        <v>351</v>
      </c>
      <c r="O96" s="52"/>
      <c r="P96" s="52"/>
      <c r="Q96" s="52"/>
      <c r="R96" s="52"/>
      <c r="S96" s="52"/>
      <c r="T96" s="53"/>
      <c r="U96" s="53"/>
      <c r="V96" s="53"/>
      <c r="W96" s="53"/>
      <c r="X96" s="53"/>
      <c r="Y96" s="53"/>
      <c r="Z96" s="53"/>
      <c r="AA96" s="53" t="s">
        <v>176</v>
      </c>
      <c r="AB96" s="53" t="s">
        <v>177</v>
      </c>
      <c r="AC96" s="53">
        <v>37593</v>
      </c>
      <c r="AD96" s="53">
        <v>17979</v>
      </c>
      <c r="AE96" s="53"/>
      <c r="AF96" s="53" t="s">
        <v>352</v>
      </c>
      <c r="AG96" s="53" t="s">
        <v>60</v>
      </c>
      <c r="AH96" s="53"/>
      <c r="AI96" s="53">
        <f>39562+1300</f>
        <v>40862</v>
      </c>
    </row>
    <row r="97" spans="1:35" ht="51" x14ac:dyDescent="0.2">
      <c r="A97" s="46">
        <v>62</v>
      </c>
      <c r="B97" s="47" t="s">
        <v>353</v>
      </c>
      <c r="C97" s="48" t="str">
        <f t="shared" ca="1" si="2"/>
        <v xml:space="preserve">Металлочерепица «Монтеррей»
м2
</v>
      </c>
      <c r="D97" s="46">
        <v>-751.4</v>
      </c>
      <c r="E97" s="49">
        <v>70.5</v>
      </c>
      <c r="F97" s="49"/>
      <c r="G97" s="49">
        <v>70.5</v>
      </c>
      <c r="H97" s="50" t="s">
        <v>354</v>
      </c>
      <c r="I97" s="51">
        <v>-202255</v>
      </c>
      <c r="J97" s="49"/>
      <c r="K97" s="49"/>
      <c r="L97" s="49" t="str">
        <f>IF(-751.4*70.5=0," ",TEXT(,ROUND((-751.4*70.5*3.818),2)))</f>
        <v>-202253.59</v>
      </c>
      <c r="M97" s="49"/>
      <c r="N97" s="49"/>
      <c r="O97" s="52"/>
      <c r="P97" s="52"/>
      <c r="Q97" s="52"/>
      <c r="R97" s="52"/>
      <c r="S97" s="52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 t="s">
        <v>355</v>
      </c>
      <c r="AG97" s="53" t="s">
        <v>139</v>
      </c>
      <c r="AH97" s="53"/>
      <c r="AI97" s="53">
        <f>0+0</f>
        <v>0</v>
      </c>
    </row>
    <row r="98" spans="1:35" ht="63.75" x14ac:dyDescent="0.2">
      <c r="A98" s="46">
        <v>63</v>
      </c>
      <c r="B98" s="47" t="s">
        <v>356</v>
      </c>
      <c r="C98" s="48" t="str">
        <f t="shared" ca="1" si="2"/>
        <v xml:space="preserve">Профилированный лист оцинкованный: НС44-1000-0,7
т
</v>
      </c>
      <c r="D98" s="46" t="s">
        <v>357</v>
      </c>
      <c r="E98" s="49">
        <v>10090.379999999999</v>
      </c>
      <c r="F98" s="49"/>
      <c r="G98" s="49">
        <v>10090.379999999999</v>
      </c>
      <c r="H98" s="50" t="s">
        <v>358</v>
      </c>
      <c r="I98" s="51">
        <v>231774</v>
      </c>
      <c r="J98" s="49"/>
      <c r="K98" s="49"/>
      <c r="L98" s="49" t="str">
        <f>IF(5.35931*10090.38=0," ",TEXT(,ROUND((5.35931*10090.38*4.286),2)))</f>
        <v>231776.06</v>
      </c>
      <c r="M98" s="49"/>
      <c r="N98" s="49"/>
      <c r="O98" s="52"/>
      <c r="P98" s="52"/>
      <c r="Q98" s="52"/>
      <c r="R98" s="52"/>
      <c r="S98" s="52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 t="s">
        <v>359</v>
      </c>
      <c r="AG98" s="53" t="s">
        <v>188</v>
      </c>
      <c r="AH98" s="53"/>
      <c r="AI98" s="53">
        <f>0+0</f>
        <v>0</v>
      </c>
    </row>
    <row r="99" spans="1:35" ht="76.5" x14ac:dyDescent="0.2">
      <c r="A99" s="46">
        <v>64</v>
      </c>
      <c r="B99" s="47" t="s">
        <v>360</v>
      </c>
      <c r="C99" s="48" t="str">
        <f t="shared" ca="1" si="2"/>
        <v xml:space="preserve">Дополнительные элементы металлочерепичной кровли: коньковый элемент, разжелобки, профили с покрытием
м2
</v>
      </c>
      <c r="D99" s="46">
        <v>55.9</v>
      </c>
      <c r="E99" s="49">
        <v>164.28</v>
      </c>
      <c r="F99" s="49"/>
      <c r="G99" s="49">
        <v>164.28</v>
      </c>
      <c r="H99" s="50" t="s">
        <v>361</v>
      </c>
      <c r="I99" s="51">
        <v>45447</v>
      </c>
      <c r="J99" s="49"/>
      <c r="K99" s="49"/>
      <c r="L99" s="49" t="str">
        <f>IF(55.9*164.28=0," ",TEXT(,ROUND((55.9*164.28*4.949),2)))</f>
        <v>45447.91</v>
      </c>
      <c r="M99" s="49"/>
      <c r="N99" s="49"/>
      <c r="O99" s="52"/>
      <c r="P99" s="52"/>
      <c r="Q99" s="52"/>
      <c r="R99" s="52"/>
      <c r="S99" s="52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 t="s">
        <v>362</v>
      </c>
      <c r="AG99" s="53" t="s">
        <v>139</v>
      </c>
      <c r="AH99" s="53"/>
      <c r="AI99" s="53">
        <f>0+0</f>
        <v>0</v>
      </c>
    </row>
    <row r="100" spans="1:35" ht="76.5" x14ac:dyDescent="0.2">
      <c r="A100" s="46">
        <v>65</v>
      </c>
      <c r="B100" s="47" t="s">
        <v>363</v>
      </c>
      <c r="C100" s="48" t="str">
        <f t="shared" ca="1" si="2"/>
        <v xml:space="preserve">Дополнительные элементы металлочерепичной кровли: заглушка коньковая из оцинкованной стали
шт.
</v>
      </c>
      <c r="D100" s="46">
        <v>6</v>
      </c>
      <c r="E100" s="49">
        <v>33.19</v>
      </c>
      <c r="F100" s="49"/>
      <c r="G100" s="49">
        <v>33.19</v>
      </c>
      <c r="H100" s="50" t="s">
        <v>361</v>
      </c>
      <c r="I100" s="51">
        <v>985</v>
      </c>
      <c r="J100" s="49"/>
      <c r="K100" s="49"/>
      <c r="L100" s="49" t="str">
        <f>IF(6*33.19=0," ",TEXT(,ROUND((6*33.19*4.949),2)))</f>
        <v>985.54</v>
      </c>
      <c r="M100" s="49"/>
      <c r="N100" s="49"/>
      <c r="O100" s="52"/>
      <c r="P100" s="52"/>
      <c r="Q100" s="52"/>
      <c r="R100" s="52"/>
      <c r="S100" s="52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 t="s">
        <v>364</v>
      </c>
      <c r="AG100" s="53" t="s">
        <v>248</v>
      </c>
      <c r="AH100" s="53"/>
      <c r="AI100" s="53">
        <f>0+0</f>
        <v>0</v>
      </c>
    </row>
    <row r="101" spans="1:35" ht="102" x14ac:dyDescent="0.2">
      <c r="A101" s="46">
        <v>66</v>
      </c>
      <c r="B101" s="47" t="s">
        <v>365</v>
      </c>
      <c r="C101" s="48" t="str">
        <f t="shared" ca="1" si="2"/>
        <v xml:space="preserve">Резка стального профилированного настила
1 м реза
2543 руб. НР 69%=90%*(0,85*0,9) от ФОТ (3685 руб.)
2137 руб.СП 58%=85%*(0,8*0,85) от ФОТ (3685 руб.)
</v>
      </c>
      <c r="D101" s="46">
        <v>64</v>
      </c>
      <c r="E101" s="49" t="s">
        <v>366</v>
      </c>
      <c r="F101" s="49">
        <v>0.55000000000000004</v>
      </c>
      <c r="G101" s="49"/>
      <c r="H101" s="50" t="s">
        <v>367</v>
      </c>
      <c r="I101" s="51">
        <v>3783</v>
      </c>
      <c r="J101" s="49">
        <v>3685</v>
      </c>
      <c r="K101" s="49">
        <v>98</v>
      </c>
      <c r="L101" s="49" t="str">
        <f>IF(64*0=0," ",TEXT(,ROUND((64*0*1),2)))</f>
        <v xml:space="preserve"> </v>
      </c>
      <c r="M101" s="49">
        <v>0.34</v>
      </c>
      <c r="N101" s="49">
        <v>21.76</v>
      </c>
      <c r="O101" s="52"/>
      <c r="P101" s="52"/>
      <c r="Q101" s="52"/>
      <c r="R101" s="52"/>
      <c r="S101" s="52"/>
      <c r="T101" s="53"/>
      <c r="U101" s="53"/>
      <c r="V101" s="53"/>
      <c r="W101" s="53"/>
      <c r="X101" s="53"/>
      <c r="Y101" s="53"/>
      <c r="Z101" s="53"/>
      <c r="AA101" s="53" t="s">
        <v>242</v>
      </c>
      <c r="AB101" s="53" t="s">
        <v>243</v>
      </c>
      <c r="AC101" s="53">
        <v>2543</v>
      </c>
      <c r="AD101" s="53">
        <v>2137</v>
      </c>
      <c r="AE101" s="53"/>
      <c r="AF101" s="53" t="s">
        <v>368</v>
      </c>
      <c r="AG101" s="53" t="s">
        <v>369</v>
      </c>
      <c r="AH101" s="53"/>
      <c r="AI101" s="53">
        <f>3685+0</f>
        <v>3685</v>
      </c>
    </row>
    <row r="102" spans="1:35" ht="127.5" x14ac:dyDescent="0.2">
      <c r="A102" s="46">
        <v>67</v>
      </c>
      <c r="B102" s="47" t="s">
        <v>370</v>
      </c>
      <c r="C102" s="48" t="str">
        <f t="shared" ca="1" si="2"/>
        <v xml:space="preserve">Устройство мелких покрытий (брандмауэры, парапеты, свесы и т.п.) из листовой оцинкованной стали
100 м2 покрытия
16814 руб. НР 92%=120%*(0,85*0,9) от ФОТ (18276 руб.)
8041 руб.СП 44%=65%*(0,8*0,85) от ФОТ (18276 руб.)
</v>
      </c>
      <c r="D102" s="46">
        <v>1.0009999999999999</v>
      </c>
      <c r="E102" s="49" t="s">
        <v>371</v>
      </c>
      <c r="F102" s="49" t="s">
        <v>372</v>
      </c>
      <c r="G102" s="49">
        <v>8890.58</v>
      </c>
      <c r="H102" s="50" t="s">
        <v>373</v>
      </c>
      <c r="I102" s="51">
        <v>51126</v>
      </c>
      <c r="J102" s="49">
        <v>18210</v>
      </c>
      <c r="K102" s="49" t="s">
        <v>374</v>
      </c>
      <c r="L102" s="49" t="str">
        <f>IF(1.001*8890.58=0," ",TEXT(,ROUND((1.001*8890.58*3.66),2)))</f>
        <v>32572.06</v>
      </c>
      <c r="M102" s="49" t="s">
        <v>375</v>
      </c>
      <c r="N102" s="49" t="s">
        <v>376</v>
      </c>
      <c r="O102" s="52"/>
      <c r="P102" s="52"/>
      <c r="Q102" s="52"/>
      <c r="R102" s="52"/>
      <c r="S102" s="52"/>
      <c r="T102" s="53"/>
      <c r="U102" s="53"/>
      <c r="V102" s="53"/>
      <c r="W102" s="53"/>
      <c r="X102" s="53"/>
      <c r="Y102" s="53"/>
      <c r="Z102" s="53"/>
      <c r="AA102" s="53" t="s">
        <v>176</v>
      </c>
      <c r="AB102" s="53" t="s">
        <v>177</v>
      </c>
      <c r="AC102" s="53">
        <v>16814</v>
      </c>
      <c r="AD102" s="53">
        <v>8041</v>
      </c>
      <c r="AE102" s="53"/>
      <c r="AF102" s="53" t="s">
        <v>377</v>
      </c>
      <c r="AG102" s="53" t="s">
        <v>36</v>
      </c>
      <c r="AH102" s="53"/>
      <c r="AI102" s="53">
        <f>18210+66</f>
        <v>18276</v>
      </c>
    </row>
    <row r="103" spans="1:35" ht="102" x14ac:dyDescent="0.2">
      <c r="A103" s="46">
        <v>68</v>
      </c>
      <c r="B103" s="47" t="s">
        <v>378</v>
      </c>
      <c r="C103" s="48" t="str">
        <f t="shared" ca="1" si="2"/>
        <v xml:space="preserve">Ограждение кровель перилами
100 м ограждения
1225 руб. НР 92%=120%*(0,85*0,9) от ФОТ (1332 руб.)
586 руб.СП 44%=65%*(0,8*0,85) от ФОТ (1332 руб.)
</v>
      </c>
      <c r="D103" s="46">
        <v>1.125</v>
      </c>
      <c r="E103" s="49" t="s">
        <v>379</v>
      </c>
      <c r="F103" s="49" t="s">
        <v>380</v>
      </c>
      <c r="G103" s="49">
        <v>3032.91</v>
      </c>
      <c r="H103" s="50" t="s">
        <v>381</v>
      </c>
      <c r="I103" s="51">
        <v>28194</v>
      </c>
      <c r="J103" s="49">
        <v>1250</v>
      </c>
      <c r="K103" s="49" t="s">
        <v>382</v>
      </c>
      <c r="L103" s="49" t="str">
        <f>IF(1.125*3032.91=0," ",TEXT(,ROUND((1.125*3032.91*7.67),2)))</f>
        <v>26170.22</v>
      </c>
      <c r="M103" s="49" t="s">
        <v>383</v>
      </c>
      <c r="N103" s="49" t="s">
        <v>384</v>
      </c>
      <c r="O103" s="52"/>
      <c r="P103" s="52"/>
      <c r="Q103" s="52"/>
      <c r="R103" s="52"/>
      <c r="S103" s="52"/>
      <c r="T103" s="53"/>
      <c r="U103" s="53"/>
      <c r="V103" s="53"/>
      <c r="W103" s="53"/>
      <c r="X103" s="53"/>
      <c r="Y103" s="53"/>
      <c r="Z103" s="53"/>
      <c r="AA103" s="53" t="s">
        <v>176</v>
      </c>
      <c r="AB103" s="53" t="s">
        <v>177</v>
      </c>
      <c r="AC103" s="53">
        <v>1225</v>
      </c>
      <c r="AD103" s="53">
        <v>586</v>
      </c>
      <c r="AE103" s="53"/>
      <c r="AF103" s="53" t="s">
        <v>385</v>
      </c>
      <c r="AG103" s="53" t="s">
        <v>386</v>
      </c>
      <c r="AH103" s="53"/>
      <c r="AI103" s="53">
        <f>1250+82</f>
        <v>1332</v>
      </c>
    </row>
    <row r="104" spans="1:35" ht="102" x14ac:dyDescent="0.2">
      <c r="A104" s="46">
        <v>69</v>
      </c>
      <c r="B104" s="47" t="s">
        <v>387</v>
      </c>
      <c r="C104" s="48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 добор до проектного объема
т
</v>
      </c>
      <c r="D104" s="46">
        <v>0.59099999999999997</v>
      </c>
      <c r="E104" s="49">
        <v>10045</v>
      </c>
      <c r="F104" s="49"/>
      <c r="G104" s="49">
        <v>10045</v>
      </c>
      <c r="H104" s="50" t="s">
        <v>388</v>
      </c>
      <c r="I104" s="51">
        <v>45661</v>
      </c>
      <c r="J104" s="49"/>
      <c r="K104" s="49"/>
      <c r="L104" s="49" t="str">
        <f>IF(0.591*10045=0," ",TEXT(,ROUND((0.591*10045*7.691),2)))</f>
        <v>45658.35</v>
      </c>
      <c r="M104" s="49"/>
      <c r="N104" s="49"/>
      <c r="O104" s="52"/>
      <c r="P104" s="52"/>
      <c r="Q104" s="52"/>
      <c r="R104" s="52"/>
      <c r="S104" s="52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 t="s">
        <v>389</v>
      </c>
      <c r="AG104" s="53" t="s">
        <v>188</v>
      </c>
      <c r="AH104" s="53"/>
      <c r="AI104" s="53">
        <f>0+0</f>
        <v>0</v>
      </c>
    </row>
    <row r="105" spans="1:35" ht="89.25" x14ac:dyDescent="0.2">
      <c r="A105" s="46">
        <v>70</v>
      </c>
      <c r="B105" s="47" t="s">
        <v>378</v>
      </c>
      <c r="C105" s="48" t="str">
        <f t="shared" ca="1" si="2"/>
        <v xml:space="preserve">Снегозадержатели
100 м ограждения
863 руб. НР 92%=120%*(0,85*0,9) от ФОТ (938 руб.)
413 руб.СП 44%=65%*(0,8*0,85) от ФОТ (938 руб.)
</v>
      </c>
      <c r="D105" s="46">
        <v>0.78</v>
      </c>
      <c r="E105" s="49" t="s">
        <v>379</v>
      </c>
      <c r="F105" s="49" t="s">
        <v>380</v>
      </c>
      <c r="G105" s="49">
        <v>3032.91</v>
      </c>
      <c r="H105" s="50" t="s">
        <v>381</v>
      </c>
      <c r="I105" s="51">
        <v>19555</v>
      </c>
      <c r="J105" s="49">
        <v>872</v>
      </c>
      <c r="K105" s="49" t="s">
        <v>390</v>
      </c>
      <c r="L105" s="49" t="str">
        <f>IF(0.78*3032.91=0," ",TEXT(,ROUND((0.78*3032.91*7.67),2)))</f>
        <v>18144.69</v>
      </c>
      <c r="M105" s="49" t="s">
        <v>383</v>
      </c>
      <c r="N105" s="49" t="s">
        <v>391</v>
      </c>
      <c r="O105" s="52"/>
      <c r="P105" s="52"/>
      <c r="Q105" s="52"/>
      <c r="R105" s="52"/>
      <c r="S105" s="52"/>
      <c r="T105" s="53"/>
      <c r="U105" s="53"/>
      <c r="V105" s="53"/>
      <c r="W105" s="53"/>
      <c r="X105" s="53"/>
      <c r="Y105" s="53"/>
      <c r="Z105" s="53"/>
      <c r="AA105" s="53" t="s">
        <v>176</v>
      </c>
      <c r="AB105" s="53" t="s">
        <v>177</v>
      </c>
      <c r="AC105" s="53">
        <v>863</v>
      </c>
      <c r="AD105" s="53">
        <v>413</v>
      </c>
      <c r="AE105" s="53"/>
      <c r="AF105" s="53" t="s">
        <v>392</v>
      </c>
      <c r="AG105" s="53" t="s">
        <v>386</v>
      </c>
      <c r="AH105" s="53"/>
      <c r="AI105" s="53">
        <f>872+66</f>
        <v>938</v>
      </c>
    </row>
    <row r="106" spans="1:35" ht="102" x14ac:dyDescent="0.2">
      <c r="A106" s="46">
        <v>71</v>
      </c>
      <c r="B106" s="47" t="s">
        <v>387</v>
      </c>
      <c r="C106" s="48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06" s="46">
        <v>-0.23400000000000001</v>
      </c>
      <c r="E106" s="49">
        <v>10045</v>
      </c>
      <c r="F106" s="49"/>
      <c r="G106" s="49">
        <v>10045</v>
      </c>
      <c r="H106" s="50" t="s">
        <v>388</v>
      </c>
      <c r="I106" s="51">
        <v>-18082</v>
      </c>
      <c r="J106" s="49"/>
      <c r="K106" s="49"/>
      <c r="L106" s="49" t="str">
        <f>IF(-0.234*10045=0," ",TEXT(,ROUND((-0.234*10045*7.691),2)))</f>
        <v>-18077.93</v>
      </c>
      <c r="M106" s="49"/>
      <c r="N106" s="49"/>
      <c r="O106" s="52"/>
      <c r="P106" s="52"/>
      <c r="Q106" s="52"/>
      <c r="R106" s="52"/>
      <c r="S106" s="52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 t="s">
        <v>393</v>
      </c>
      <c r="AG106" s="53" t="s">
        <v>188</v>
      </c>
      <c r="AH106" s="53"/>
      <c r="AI106" s="53">
        <f>0+0</f>
        <v>0</v>
      </c>
    </row>
    <row r="107" spans="1:35" ht="63.75" x14ac:dyDescent="0.2">
      <c r="A107" s="46">
        <v>72</v>
      </c>
      <c r="B107" s="47" t="s">
        <v>394</v>
      </c>
      <c r="C107" s="48" t="str">
        <f t="shared" ca="1" si="2"/>
        <v xml:space="preserve">Снегозадержатель длиной 3000 мм 1800/1,18/3/5,58=91,12
м
</v>
      </c>
      <c r="D107" s="46">
        <v>78</v>
      </c>
      <c r="E107" s="49">
        <v>91.12</v>
      </c>
      <c r="F107" s="49"/>
      <c r="G107" s="49">
        <v>91.12</v>
      </c>
      <c r="H107" s="50" t="s">
        <v>167</v>
      </c>
      <c r="I107" s="51">
        <v>39657</v>
      </c>
      <c r="J107" s="49"/>
      <c r="K107" s="49"/>
      <c r="L107" s="49" t="str">
        <f>IF(78*91.12=0," ",TEXT(,ROUND((78*91.12*5.58),2)))</f>
        <v>39659.07</v>
      </c>
      <c r="M107" s="49"/>
      <c r="N107" s="49"/>
      <c r="O107" s="52"/>
      <c r="P107" s="52"/>
      <c r="Q107" s="52"/>
      <c r="R107" s="52"/>
      <c r="S107" s="52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 t="s">
        <v>395</v>
      </c>
      <c r="AG107" s="53" t="s">
        <v>396</v>
      </c>
      <c r="AH107" s="53"/>
      <c r="AI107" s="53">
        <f>0+0</f>
        <v>0</v>
      </c>
    </row>
    <row r="108" spans="1:35" ht="89.25" x14ac:dyDescent="0.2">
      <c r="A108" s="46">
        <v>73</v>
      </c>
      <c r="B108" s="47" t="s">
        <v>378</v>
      </c>
      <c r="C108" s="48" t="str">
        <f t="shared" ca="1" si="2"/>
        <v xml:space="preserve">Страховочный трос
100 м ограждения
226 руб. НР 92%=120%*(0,85*0,9) от ФОТ (246 руб.)
108 руб.СП 44%=65%*(0,8*0,85) от ФОТ (246 руб.)
</v>
      </c>
      <c r="D108" s="46">
        <v>0.21</v>
      </c>
      <c r="E108" s="49" t="s">
        <v>379</v>
      </c>
      <c r="F108" s="49" t="s">
        <v>380</v>
      </c>
      <c r="G108" s="49">
        <v>3032.91</v>
      </c>
      <c r="H108" s="50" t="s">
        <v>381</v>
      </c>
      <c r="I108" s="51">
        <v>5265</v>
      </c>
      <c r="J108" s="49">
        <v>230</v>
      </c>
      <c r="K108" s="49" t="s">
        <v>397</v>
      </c>
      <c r="L108" s="49" t="str">
        <f>IF(0.21*3032.91=0," ",TEXT(,ROUND((0.21*3032.91*7.67),2)))</f>
        <v>4885.11</v>
      </c>
      <c r="M108" s="49" t="s">
        <v>383</v>
      </c>
      <c r="N108" s="49" t="s">
        <v>398</v>
      </c>
      <c r="O108" s="52"/>
      <c r="P108" s="52"/>
      <c r="Q108" s="52"/>
      <c r="R108" s="52"/>
      <c r="S108" s="52"/>
      <c r="T108" s="53"/>
      <c r="U108" s="53"/>
      <c r="V108" s="53"/>
      <c r="W108" s="53"/>
      <c r="X108" s="53"/>
      <c r="Y108" s="53"/>
      <c r="Z108" s="53"/>
      <c r="AA108" s="53" t="s">
        <v>176</v>
      </c>
      <c r="AB108" s="53" t="s">
        <v>177</v>
      </c>
      <c r="AC108" s="53">
        <v>226</v>
      </c>
      <c r="AD108" s="53">
        <v>108</v>
      </c>
      <c r="AE108" s="53"/>
      <c r="AF108" s="53" t="s">
        <v>399</v>
      </c>
      <c r="AG108" s="53" t="s">
        <v>386</v>
      </c>
      <c r="AH108" s="53"/>
      <c r="AI108" s="53">
        <f>230+16</f>
        <v>246</v>
      </c>
    </row>
    <row r="109" spans="1:35" ht="102" x14ac:dyDescent="0.2">
      <c r="A109" s="46">
        <v>74</v>
      </c>
      <c r="B109" s="47" t="s">
        <v>387</v>
      </c>
      <c r="C109" s="48" t="str">
        <f t="shared" ca="1" si="2"/>
        <v xml:space="preserve"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
т
</v>
      </c>
      <c r="D109" s="46">
        <v>-6.3E-2</v>
      </c>
      <c r="E109" s="49">
        <v>10045</v>
      </c>
      <c r="F109" s="49"/>
      <c r="G109" s="49">
        <v>10045</v>
      </c>
      <c r="H109" s="50" t="s">
        <v>388</v>
      </c>
      <c r="I109" s="51">
        <v>-4868</v>
      </c>
      <c r="J109" s="49"/>
      <c r="K109" s="49"/>
      <c r="L109" s="49" t="str">
        <f>IF(-0.063*10045=0," ",TEXT(,ROUND((-0.063*10045*7.691),2)))</f>
        <v>-4867.13</v>
      </c>
      <c r="M109" s="49"/>
      <c r="N109" s="49"/>
      <c r="O109" s="52"/>
      <c r="P109" s="52"/>
      <c r="Q109" s="52"/>
      <c r="R109" s="52"/>
      <c r="S109" s="52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 t="s">
        <v>400</v>
      </c>
      <c r="AG109" s="53" t="s">
        <v>188</v>
      </c>
      <c r="AH109" s="53"/>
      <c r="AI109" s="53">
        <f>0+0</f>
        <v>0</v>
      </c>
    </row>
    <row r="110" spans="1:35" ht="51" x14ac:dyDescent="0.2">
      <c r="A110" s="46">
        <v>75</v>
      </c>
      <c r="B110" s="47" t="s">
        <v>401</v>
      </c>
      <c r="C110" s="48" t="str">
        <f t="shared" ca="1" si="2"/>
        <v xml:space="preserve">Трос стальной
м
</v>
      </c>
      <c r="D110" s="46">
        <v>21</v>
      </c>
      <c r="E110" s="49">
        <v>12.03</v>
      </c>
      <c r="F110" s="49"/>
      <c r="G110" s="49">
        <v>12.03</v>
      </c>
      <c r="H110" s="50" t="s">
        <v>402</v>
      </c>
      <c r="I110" s="51">
        <v>1750</v>
      </c>
      <c r="J110" s="49"/>
      <c r="K110" s="49"/>
      <c r="L110" s="49" t="str">
        <f>IF(21*12.03=0," ",TEXT(,ROUND((21*12.03*6.918),2)))</f>
        <v>1747.69</v>
      </c>
      <c r="M110" s="49"/>
      <c r="N110" s="49"/>
      <c r="O110" s="52"/>
      <c r="P110" s="52"/>
      <c r="Q110" s="52"/>
      <c r="R110" s="52"/>
      <c r="S110" s="52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 t="s">
        <v>403</v>
      </c>
      <c r="AG110" s="53" t="s">
        <v>396</v>
      </c>
      <c r="AH110" s="53"/>
      <c r="AI110" s="53">
        <f>0+0</f>
        <v>0</v>
      </c>
    </row>
    <row r="111" spans="1:35" ht="102" x14ac:dyDescent="0.2">
      <c r="A111" s="46">
        <v>76</v>
      </c>
      <c r="B111" s="47" t="s">
        <v>404</v>
      </c>
      <c r="C111" s="48" t="str">
        <f t="shared" ca="1" si="2"/>
        <v xml:space="preserve">Прочие индивидуальные сварные конструкции, масса сборочной единицы до 0,1 т
т
</v>
      </c>
      <c r="D111" s="46" t="s">
        <v>405</v>
      </c>
      <c r="E111" s="49">
        <v>10508</v>
      </c>
      <c r="F111" s="49"/>
      <c r="G111" s="49">
        <v>10508</v>
      </c>
      <c r="H111" s="50" t="s">
        <v>388</v>
      </c>
      <c r="I111" s="51">
        <v>54</v>
      </c>
      <c r="J111" s="49"/>
      <c r="K111" s="49"/>
      <c r="L111" s="49" t="str">
        <f>IF(0.00063*10508=0," ",TEXT(,ROUND((0.00063*10508*7.691),2)))</f>
        <v>50.91</v>
      </c>
      <c r="M111" s="49"/>
      <c r="N111" s="49"/>
      <c r="O111" s="52"/>
      <c r="P111" s="52"/>
      <c r="Q111" s="52"/>
      <c r="R111" s="52"/>
      <c r="S111" s="52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 t="s">
        <v>406</v>
      </c>
      <c r="AG111" s="53" t="s">
        <v>188</v>
      </c>
      <c r="AH111" s="53"/>
      <c r="AI111" s="53">
        <f>0+0</f>
        <v>0</v>
      </c>
    </row>
    <row r="112" spans="1:35" ht="89.25" x14ac:dyDescent="0.2">
      <c r="A112" s="46">
        <v>77</v>
      </c>
      <c r="B112" s="47" t="s">
        <v>378</v>
      </c>
      <c r="C112" s="48" t="str">
        <f t="shared" ca="1" si="2"/>
        <v xml:space="preserve">Устройство переходных лестниц  на кровле
100 м ограждения
121 руб. НР 92%=120%*(0,85*0,9) от ФОТ (132 руб.)
58 руб.СП 44%=65%*(0,8*0,85) от ФОТ (132 руб.)
</v>
      </c>
      <c r="D112" s="46">
        <v>0.12</v>
      </c>
      <c r="E112" s="49" t="s">
        <v>379</v>
      </c>
      <c r="F112" s="49" t="s">
        <v>380</v>
      </c>
      <c r="G112" s="49">
        <v>3032.91</v>
      </c>
      <c r="H112" s="50" t="s">
        <v>381</v>
      </c>
      <c r="I112" s="51">
        <v>3013</v>
      </c>
      <c r="J112" s="49">
        <v>132</v>
      </c>
      <c r="K112" s="49">
        <v>89</v>
      </c>
      <c r="L112" s="49" t="str">
        <f>IF(0.12*3032.91=0," ",TEXT(,ROUND((0.12*3032.91*7.67),2)))</f>
        <v>2791.49</v>
      </c>
      <c r="M112" s="49" t="s">
        <v>383</v>
      </c>
      <c r="N112" s="49" t="s">
        <v>407</v>
      </c>
      <c r="O112" s="52"/>
      <c r="P112" s="52"/>
      <c r="Q112" s="52"/>
      <c r="R112" s="52"/>
      <c r="S112" s="52"/>
      <c r="T112" s="53"/>
      <c r="U112" s="53"/>
      <c r="V112" s="53"/>
      <c r="W112" s="53"/>
      <c r="X112" s="53"/>
      <c r="Y112" s="53"/>
      <c r="Z112" s="53"/>
      <c r="AA112" s="53" t="s">
        <v>176</v>
      </c>
      <c r="AB112" s="53" t="s">
        <v>177</v>
      </c>
      <c r="AC112" s="53">
        <v>121</v>
      </c>
      <c r="AD112" s="53">
        <v>58</v>
      </c>
      <c r="AE112" s="53"/>
      <c r="AF112" s="53" t="s">
        <v>408</v>
      </c>
      <c r="AG112" s="53" t="s">
        <v>386</v>
      </c>
      <c r="AH112" s="53"/>
      <c r="AI112" s="53">
        <f>132+0</f>
        <v>132</v>
      </c>
    </row>
    <row r="113" spans="1:35" ht="102" x14ac:dyDescent="0.2">
      <c r="A113" s="46">
        <v>78</v>
      </c>
      <c r="B113" s="47" t="s">
        <v>387</v>
      </c>
      <c r="C113" s="48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13" s="46">
        <v>-3.5999999999999997E-2</v>
      </c>
      <c r="E113" s="49">
        <v>10045</v>
      </c>
      <c r="F113" s="49"/>
      <c r="G113" s="49">
        <v>10045</v>
      </c>
      <c r="H113" s="50" t="s">
        <v>388</v>
      </c>
      <c r="I113" s="51">
        <v>-2784</v>
      </c>
      <c r="J113" s="49"/>
      <c r="K113" s="49"/>
      <c r="L113" s="49" t="str">
        <f>IF(-0.036*10045=0," ",TEXT(,ROUND((-0.036*10045*7.691),2)))</f>
        <v>-2781.22</v>
      </c>
      <c r="M113" s="49"/>
      <c r="N113" s="49"/>
      <c r="O113" s="52"/>
      <c r="P113" s="52"/>
      <c r="Q113" s="52"/>
      <c r="R113" s="52"/>
      <c r="S113" s="52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 t="s">
        <v>393</v>
      </c>
      <c r="AG113" s="53" t="s">
        <v>188</v>
      </c>
      <c r="AH113" s="53"/>
      <c r="AI113" s="53">
        <f>0+0</f>
        <v>0</v>
      </c>
    </row>
    <row r="114" spans="1:35" ht="63.75" x14ac:dyDescent="0.2">
      <c r="A114" s="46">
        <v>79</v>
      </c>
      <c r="B114" s="47" t="s">
        <v>394</v>
      </c>
      <c r="C114" s="48" t="str">
        <f t="shared" ca="1" si="2"/>
        <v xml:space="preserve">Лестница кровельная длиной 1860 мм 2200/1,18/1,86/5,58=179,64
м
</v>
      </c>
      <c r="D114" s="46">
        <v>12</v>
      </c>
      <c r="E114" s="49">
        <v>179.64</v>
      </c>
      <c r="F114" s="49"/>
      <c r="G114" s="49">
        <v>179.64</v>
      </c>
      <c r="H114" s="50" t="s">
        <v>167</v>
      </c>
      <c r="I114" s="51">
        <v>12030</v>
      </c>
      <c r="J114" s="49"/>
      <c r="K114" s="49"/>
      <c r="L114" s="49" t="str">
        <f>IF(12*179.64=0," ",TEXT(,ROUND((12*179.64*5.58),2)))</f>
        <v>12028.69</v>
      </c>
      <c r="M114" s="49"/>
      <c r="N114" s="49"/>
      <c r="O114" s="52"/>
      <c r="P114" s="52"/>
      <c r="Q114" s="52"/>
      <c r="R114" s="52"/>
      <c r="S114" s="52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 t="s">
        <v>409</v>
      </c>
      <c r="AG114" s="53" t="s">
        <v>396</v>
      </c>
      <c r="AH114" s="53"/>
      <c r="AI114" s="53">
        <f>0+0</f>
        <v>0</v>
      </c>
    </row>
    <row r="115" spans="1:35" ht="76.5" x14ac:dyDescent="0.2">
      <c r="A115" s="46">
        <v>80</v>
      </c>
      <c r="B115" s="47" t="s">
        <v>378</v>
      </c>
      <c r="C115" s="48" t="str">
        <f t="shared" ca="1" si="2"/>
        <v xml:space="preserve">Устройство переходных мостиков  на кровле
100 м ограждения
15 руб. НР 92%=120%*(0,85*0,9) от ФОТ (16 руб.)
7 руб.СП 44%=65%*(0,8*0,85) от ФОТ (16 руб.)
</v>
      </c>
      <c r="D115" s="46" t="s">
        <v>410</v>
      </c>
      <c r="E115" s="49" t="s">
        <v>379</v>
      </c>
      <c r="F115" s="49" t="s">
        <v>380</v>
      </c>
      <c r="G115" s="49">
        <v>3032.91</v>
      </c>
      <c r="H115" s="50" t="s">
        <v>381</v>
      </c>
      <c r="I115" s="51">
        <v>610</v>
      </c>
      <c r="J115" s="49">
        <v>16</v>
      </c>
      <c r="K115" s="49">
        <v>10</v>
      </c>
      <c r="L115" s="49" t="str">
        <f>IF(0.025*3032.91=0," ",TEXT(,ROUND((0.025*3032.91*7.67),2)))</f>
        <v>581.56</v>
      </c>
      <c r="M115" s="49" t="s">
        <v>383</v>
      </c>
      <c r="N115" s="49" t="s">
        <v>411</v>
      </c>
      <c r="O115" s="52"/>
      <c r="P115" s="52"/>
      <c r="Q115" s="52"/>
      <c r="R115" s="52"/>
      <c r="S115" s="52"/>
      <c r="T115" s="53"/>
      <c r="U115" s="53"/>
      <c r="V115" s="53"/>
      <c r="W115" s="53"/>
      <c r="X115" s="53"/>
      <c r="Y115" s="53"/>
      <c r="Z115" s="53"/>
      <c r="AA115" s="53" t="s">
        <v>176</v>
      </c>
      <c r="AB115" s="53" t="s">
        <v>177</v>
      </c>
      <c r="AC115" s="53">
        <v>15</v>
      </c>
      <c r="AD115" s="53">
        <v>7</v>
      </c>
      <c r="AE115" s="53"/>
      <c r="AF115" s="53" t="s">
        <v>412</v>
      </c>
      <c r="AG115" s="53" t="s">
        <v>386</v>
      </c>
      <c r="AH115" s="53"/>
      <c r="AI115" s="53">
        <f>16+0</f>
        <v>16</v>
      </c>
    </row>
    <row r="116" spans="1:35" ht="102" x14ac:dyDescent="0.2">
      <c r="A116" s="46">
        <v>81</v>
      </c>
      <c r="B116" s="47" t="s">
        <v>387</v>
      </c>
      <c r="C116" s="48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16" s="46">
        <v>-7.4999999999999997E-3</v>
      </c>
      <c r="E116" s="49">
        <v>10045</v>
      </c>
      <c r="F116" s="49"/>
      <c r="G116" s="49">
        <v>10045</v>
      </c>
      <c r="H116" s="50" t="s">
        <v>388</v>
      </c>
      <c r="I116" s="51">
        <v>-577</v>
      </c>
      <c r="J116" s="49"/>
      <c r="K116" s="49"/>
      <c r="L116" s="49" t="str">
        <f>IF(-0.0075*10045=0," ",TEXT(,ROUND((-0.0075*10045*7.691),2)))</f>
        <v>-579.42</v>
      </c>
      <c r="M116" s="49"/>
      <c r="N116" s="49"/>
      <c r="O116" s="52"/>
      <c r="P116" s="52"/>
      <c r="Q116" s="52"/>
      <c r="R116" s="52"/>
      <c r="S116" s="52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 t="s">
        <v>393</v>
      </c>
      <c r="AG116" s="53" t="s">
        <v>188</v>
      </c>
      <c r="AH116" s="53"/>
      <c r="AI116" s="53">
        <f>0+0</f>
        <v>0</v>
      </c>
    </row>
    <row r="117" spans="1:35" ht="51" x14ac:dyDescent="0.2">
      <c r="A117" s="46">
        <v>82</v>
      </c>
      <c r="B117" s="47" t="s">
        <v>413</v>
      </c>
      <c r="C117" s="48" t="str">
        <f t="shared" ca="1" si="2"/>
        <v xml:space="preserve">Переходный мостик 1250 мм 2250/1,18/5,58=341,72
шт
</v>
      </c>
      <c r="D117" s="46">
        <v>2</v>
      </c>
      <c r="E117" s="49">
        <v>341.72</v>
      </c>
      <c r="F117" s="49"/>
      <c r="G117" s="49">
        <v>341.72</v>
      </c>
      <c r="H117" s="50" t="s">
        <v>167</v>
      </c>
      <c r="I117" s="51">
        <v>3811</v>
      </c>
      <c r="J117" s="49"/>
      <c r="K117" s="49"/>
      <c r="L117" s="49" t="str">
        <f>IF(2*341.72=0," ",TEXT(,ROUND((2*341.72*5.58),2)))</f>
        <v>3813.6</v>
      </c>
      <c r="M117" s="49"/>
      <c r="N117" s="49"/>
      <c r="O117" s="52"/>
      <c r="P117" s="52"/>
      <c r="Q117" s="52"/>
      <c r="R117" s="52"/>
      <c r="S117" s="52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 t="s">
        <v>414</v>
      </c>
      <c r="AG117" s="53" t="s">
        <v>415</v>
      </c>
      <c r="AH117" s="53"/>
      <c r="AI117" s="53">
        <f>0+0</f>
        <v>0</v>
      </c>
    </row>
    <row r="118" spans="1:35" ht="102" x14ac:dyDescent="0.2">
      <c r="A118" s="46">
        <v>83</v>
      </c>
      <c r="B118" s="47" t="s">
        <v>416</v>
      </c>
      <c r="C118" s="48" t="str">
        <f t="shared" ca="1" si="2"/>
        <v xml:space="preserve">Огрунтовка металлических поверхностей за один раз: грунтовкой ГФ-021
100 м2 окрашиваемой поверхности
238 руб. НР 69%=90%*(0,85*0,9) от ФОТ (345 руб.)
166 руб.СП 48%=70%*(0,8*0,85) от ФОТ (345 руб.)
</v>
      </c>
      <c r="D118" s="46">
        <v>0.311</v>
      </c>
      <c r="E118" s="49" t="s">
        <v>417</v>
      </c>
      <c r="F118" s="49" t="s">
        <v>418</v>
      </c>
      <c r="G118" s="49">
        <v>202.72</v>
      </c>
      <c r="H118" s="50" t="s">
        <v>419</v>
      </c>
      <c r="I118" s="51">
        <v>657</v>
      </c>
      <c r="J118" s="49">
        <v>345</v>
      </c>
      <c r="K118" s="49">
        <v>43</v>
      </c>
      <c r="L118" s="49" t="str">
        <f>IF(0.311*202.72=0," ",TEXT(,ROUND((0.311*202.72*4.27),2)))</f>
        <v>269.21</v>
      </c>
      <c r="M118" s="49" t="s">
        <v>420</v>
      </c>
      <c r="N118" s="49">
        <v>1.65</v>
      </c>
      <c r="O118" s="52"/>
      <c r="P118" s="52"/>
      <c r="Q118" s="52"/>
      <c r="R118" s="52"/>
      <c r="S118" s="52"/>
      <c r="T118" s="53"/>
      <c r="U118" s="53"/>
      <c r="V118" s="53"/>
      <c r="W118" s="53"/>
      <c r="X118" s="53"/>
      <c r="Y118" s="53"/>
      <c r="Z118" s="53"/>
      <c r="AA118" s="53" t="s">
        <v>242</v>
      </c>
      <c r="AB118" s="53" t="s">
        <v>34</v>
      </c>
      <c r="AC118" s="53">
        <v>238</v>
      </c>
      <c r="AD118" s="53">
        <v>166</v>
      </c>
      <c r="AE118" s="53"/>
      <c r="AF118" s="53" t="s">
        <v>421</v>
      </c>
      <c r="AG118" s="53" t="s">
        <v>422</v>
      </c>
      <c r="AH118" s="53"/>
      <c r="AI118" s="53">
        <f>345+0</f>
        <v>345</v>
      </c>
    </row>
    <row r="119" spans="1:35" ht="140.25" x14ac:dyDescent="0.2">
      <c r="A119" s="56">
        <v>84</v>
      </c>
      <c r="B119" s="57" t="s">
        <v>423</v>
      </c>
      <c r="C119" s="58" t="str">
        <f t="shared" ca="1" si="2"/>
        <v xml:space="preserve">Окраска металлических огрунтованных поверхностей: эмалью ПФ-115
100 м2 окрашиваемой поверхности
КОЭФ. К ПОЗИЦИИ:
За 2 раза ПЗ=2 (ОЗП=2; ЭМ=2 к расх.; ЗПМ=2; МАТ=2 к расх.; ТЗ=2; ТЗМ=2)
284 руб. НР 69%=90%*(0,85*0,9) от ФОТ (411 руб.)
197 руб.СП 48%=70%*(0,8*0,85) от ФОТ (411 руб.)
</v>
      </c>
      <c r="D119" s="56">
        <v>0.311</v>
      </c>
      <c r="E119" s="59" t="s">
        <v>424</v>
      </c>
      <c r="F119" s="59" t="s">
        <v>425</v>
      </c>
      <c r="G119" s="59">
        <v>562.55999999999995</v>
      </c>
      <c r="H119" s="60" t="s">
        <v>426</v>
      </c>
      <c r="I119" s="61">
        <v>1328</v>
      </c>
      <c r="J119" s="59">
        <v>411</v>
      </c>
      <c r="K119" s="59">
        <v>53</v>
      </c>
      <c r="L119" s="59" t="str">
        <f>IF(0.311*562.56=0," ",TEXT(,ROUND((0.311*562.56*4.94),2)))</f>
        <v>864.28</v>
      </c>
      <c r="M119" s="59" t="s">
        <v>427</v>
      </c>
      <c r="N119" s="59" t="s">
        <v>428</v>
      </c>
      <c r="O119" s="52"/>
      <c r="P119" s="52"/>
      <c r="Q119" s="52"/>
      <c r="R119" s="52"/>
      <c r="S119" s="52"/>
      <c r="T119" s="53"/>
      <c r="U119" s="53"/>
      <c r="V119" s="53"/>
      <c r="W119" s="53"/>
      <c r="X119" s="53"/>
      <c r="Y119" s="53"/>
      <c r="Z119" s="53"/>
      <c r="AA119" s="53" t="s">
        <v>242</v>
      </c>
      <c r="AB119" s="53" t="s">
        <v>34</v>
      </c>
      <c r="AC119" s="53">
        <v>284</v>
      </c>
      <c r="AD119" s="53">
        <v>197</v>
      </c>
      <c r="AE119" s="55" t="s">
        <v>429</v>
      </c>
      <c r="AF119" s="53" t="s">
        <v>430</v>
      </c>
      <c r="AG119" s="53" t="s">
        <v>422</v>
      </c>
      <c r="AH119" s="53"/>
      <c r="AI119" s="53">
        <f>411+0</f>
        <v>411</v>
      </c>
    </row>
    <row r="120" spans="1:35" ht="25.5" x14ac:dyDescent="0.2">
      <c r="A120" s="69" t="s">
        <v>112</v>
      </c>
      <c r="B120" s="64"/>
      <c r="C120" s="64"/>
      <c r="D120" s="64"/>
      <c r="E120" s="64"/>
      <c r="F120" s="64"/>
      <c r="G120" s="64"/>
      <c r="H120" s="64"/>
      <c r="I120" s="51">
        <v>164021</v>
      </c>
      <c r="J120" s="49">
        <v>9792</v>
      </c>
      <c r="K120" s="49" t="s">
        <v>431</v>
      </c>
      <c r="L120" s="49">
        <v>151374</v>
      </c>
      <c r="M120" s="49"/>
      <c r="N120" s="49" t="s">
        <v>432</v>
      </c>
      <c r="O120" s="18"/>
      <c r="P120" s="19"/>
      <c r="Q120" s="18"/>
      <c r="R120" s="18"/>
      <c r="S120" s="18"/>
    </row>
    <row r="121" spans="1:35" ht="25.5" x14ac:dyDescent="0.2">
      <c r="A121" s="69" t="s">
        <v>251</v>
      </c>
      <c r="B121" s="64"/>
      <c r="C121" s="64"/>
      <c r="D121" s="64"/>
      <c r="E121" s="64"/>
      <c r="F121" s="64"/>
      <c r="G121" s="64"/>
      <c r="H121" s="64"/>
      <c r="I121" s="51">
        <v>165615</v>
      </c>
      <c r="J121" s="49">
        <v>10853</v>
      </c>
      <c r="K121" s="49" t="s">
        <v>433</v>
      </c>
      <c r="L121" s="49">
        <v>151374</v>
      </c>
      <c r="M121" s="49"/>
      <c r="N121" s="49" t="s">
        <v>434</v>
      </c>
      <c r="O121" s="18"/>
      <c r="P121" s="19"/>
      <c r="Q121" s="18"/>
      <c r="R121" s="18"/>
      <c r="S121" s="18"/>
    </row>
    <row r="122" spans="1:35" x14ac:dyDescent="0.2">
      <c r="A122" s="69" t="s">
        <v>254</v>
      </c>
      <c r="B122" s="64"/>
      <c r="C122" s="64"/>
      <c r="D122" s="64"/>
      <c r="E122" s="64"/>
      <c r="F122" s="64"/>
      <c r="G122" s="64"/>
      <c r="H122" s="64"/>
      <c r="I122" s="51"/>
      <c r="J122" s="49"/>
      <c r="K122" s="49"/>
      <c r="L122" s="49"/>
      <c r="M122" s="49"/>
      <c r="N122" s="49"/>
      <c r="O122" s="18"/>
      <c r="P122" s="19"/>
      <c r="Q122" s="18"/>
      <c r="R122" s="18"/>
      <c r="S122" s="18"/>
    </row>
    <row r="123" spans="1:35" ht="27.95" customHeight="1" x14ac:dyDescent="0.2">
      <c r="A123" s="69" t="s">
        <v>435</v>
      </c>
      <c r="B123" s="64"/>
      <c r="C123" s="64"/>
      <c r="D123" s="64"/>
      <c r="E123" s="64"/>
      <c r="F123" s="64"/>
      <c r="G123" s="64"/>
      <c r="H123" s="64"/>
      <c r="I123" s="51">
        <v>1594</v>
      </c>
      <c r="J123" s="49">
        <v>1061</v>
      </c>
      <c r="K123" s="49" t="s">
        <v>436</v>
      </c>
      <c r="L123" s="49"/>
      <c r="M123" s="49"/>
      <c r="N123" s="49" t="s">
        <v>437</v>
      </c>
      <c r="O123" s="18"/>
      <c r="P123" s="19"/>
      <c r="Q123" s="18"/>
      <c r="R123" s="18"/>
      <c r="S123" s="18"/>
    </row>
    <row r="124" spans="1:35" ht="25.5" x14ac:dyDescent="0.2">
      <c r="A124" s="69" t="s">
        <v>115</v>
      </c>
      <c r="B124" s="64"/>
      <c r="C124" s="64"/>
      <c r="D124" s="64"/>
      <c r="E124" s="64"/>
      <c r="F124" s="64"/>
      <c r="G124" s="64"/>
      <c r="H124" s="64"/>
      <c r="I124" s="51">
        <v>932798</v>
      </c>
      <c r="J124" s="49">
        <v>178530</v>
      </c>
      <c r="K124" s="49" t="s">
        <v>438</v>
      </c>
      <c r="L124" s="49">
        <v>717423</v>
      </c>
      <c r="M124" s="49"/>
      <c r="N124" s="49" t="s">
        <v>434</v>
      </c>
      <c r="O124" s="18"/>
      <c r="P124" s="19"/>
      <c r="Q124" s="18"/>
      <c r="R124" s="18"/>
      <c r="S124" s="18"/>
    </row>
    <row r="125" spans="1:35" x14ac:dyDescent="0.2">
      <c r="A125" s="69" t="s">
        <v>117</v>
      </c>
      <c r="B125" s="64"/>
      <c r="C125" s="64"/>
      <c r="D125" s="64"/>
      <c r="E125" s="64"/>
      <c r="F125" s="64"/>
      <c r="G125" s="64"/>
      <c r="H125" s="64"/>
      <c r="I125" s="51">
        <v>152027</v>
      </c>
      <c r="J125" s="49"/>
      <c r="K125" s="49"/>
      <c r="L125" s="49"/>
      <c r="M125" s="49"/>
      <c r="N125" s="49"/>
      <c r="O125" s="18"/>
      <c r="P125" s="19"/>
      <c r="Q125" s="18"/>
      <c r="R125" s="18"/>
      <c r="S125" s="18"/>
    </row>
    <row r="126" spans="1:35" x14ac:dyDescent="0.2">
      <c r="A126" s="69" t="s">
        <v>118</v>
      </c>
      <c r="B126" s="64"/>
      <c r="C126" s="64"/>
      <c r="D126" s="64"/>
      <c r="E126" s="64"/>
      <c r="F126" s="64"/>
      <c r="G126" s="64"/>
      <c r="H126" s="64"/>
      <c r="I126" s="51">
        <v>84140</v>
      </c>
      <c r="J126" s="49"/>
      <c r="K126" s="49"/>
      <c r="L126" s="49"/>
      <c r="M126" s="49"/>
      <c r="N126" s="49"/>
      <c r="O126" s="18"/>
      <c r="P126" s="19"/>
      <c r="Q126" s="18"/>
      <c r="R126" s="18"/>
      <c r="S126" s="18"/>
    </row>
    <row r="127" spans="1:35" ht="25.5" x14ac:dyDescent="0.2">
      <c r="A127" s="67" t="s">
        <v>439</v>
      </c>
      <c r="B127" s="68"/>
      <c r="C127" s="68"/>
      <c r="D127" s="68"/>
      <c r="E127" s="68"/>
      <c r="F127" s="68"/>
      <c r="G127" s="68"/>
      <c r="H127" s="68"/>
      <c r="I127" s="61">
        <v>1168965</v>
      </c>
      <c r="J127" s="59"/>
      <c r="K127" s="59"/>
      <c r="L127" s="59"/>
      <c r="M127" s="59"/>
      <c r="N127" s="59" t="s">
        <v>434</v>
      </c>
      <c r="O127" s="18"/>
      <c r="P127" s="19"/>
      <c r="Q127" s="18"/>
      <c r="R127" s="18"/>
      <c r="S127" s="18"/>
    </row>
    <row r="128" spans="1:35" ht="21" customHeight="1" x14ac:dyDescent="0.2">
      <c r="A128" s="70" t="s">
        <v>440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</row>
    <row r="129" spans="1:35" ht="84" customHeight="1" x14ac:dyDescent="0.2">
      <c r="A129" s="46">
        <v>85</v>
      </c>
      <c r="B129" s="47" t="s">
        <v>441</v>
      </c>
      <c r="C129" s="48" t="str">
        <f t="shared" ref="C129:C143" ca="1" si="3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Кладка стен приямков и каналов
1 м3 кладки
6517 руб. НР 93%=122%*(0,85*0,9) от ФОТ (7008 руб.)
3784 руб.СП 54%=80%*(0,8*0,85) от ФОТ (7008 руб.)
</v>
      </c>
      <c r="D129" s="46">
        <v>5.78</v>
      </c>
      <c r="E129" s="49" t="s">
        <v>442</v>
      </c>
      <c r="F129" s="49" t="s">
        <v>443</v>
      </c>
      <c r="G129" s="49">
        <v>823.32</v>
      </c>
      <c r="H129" s="50" t="s">
        <v>143</v>
      </c>
      <c r="I129" s="51">
        <v>31171</v>
      </c>
      <c r="J129" s="49">
        <v>6432</v>
      </c>
      <c r="K129" s="49" t="s">
        <v>444</v>
      </c>
      <c r="L129" s="49" t="str">
        <f>IF(5.78*823.32=0," ",TEXT(,ROUND((5.78*823.32*4.63),2)))</f>
        <v>22033.2</v>
      </c>
      <c r="M129" s="49" t="s">
        <v>445</v>
      </c>
      <c r="N129" s="49" t="s">
        <v>446</v>
      </c>
      <c r="O129" s="52"/>
      <c r="P129" s="52"/>
      <c r="Q129" s="52"/>
      <c r="R129" s="52"/>
      <c r="S129" s="52"/>
      <c r="T129" s="53"/>
      <c r="U129" s="53"/>
      <c r="V129" s="53"/>
      <c r="W129" s="53"/>
      <c r="X129" s="53"/>
      <c r="Y129" s="53"/>
      <c r="Z129" s="53"/>
      <c r="AA129" s="53" t="s">
        <v>147</v>
      </c>
      <c r="AB129" s="53" t="s">
        <v>148</v>
      </c>
      <c r="AC129" s="53">
        <v>6517</v>
      </c>
      <c r="AD129" s="53">
        <v>3784</v>
      </c>
      <c r="AE129" s="53"/>
      <c r="AF129" s="53" t="s">
        <v>447</v>
      </c>
      <c r="AG129" s="53" t="s">
        <v>150</v>
      </c>
      <c r="AH129" s="53"/>
      <c r="AI129" s="53">
        <f>6432+576</f>
        <v>7008</v>
      </c>
    </row>
    <row r="130" spans="1:35" ht="71.25" customHeight="1" x14ac:dyDescent="0.2">
      <c r="A130" s="46">
        <v>86</v>
      </c>
      <c r="B130" s="47" t="s">
        <v>448</v>
      </c>
      <c r="C130" s="48" t="str">
        <f t="shared" ca="1" si="3"/>
        <v xml:space="preserve">Армирование кладки стен и других конструкций
1 т металлических изделий
398 руб. НР 93%=122%*(0,85*0,9) от ФОТ (428 руб.)
231 руб.СП 54%=80%*(0,8*0,85) от ФОТ (428 руб.)
</v>
      </c>
      <c r="D130" s="46">
        <v>4.4999999999999998E-2</v>
      </c>
      <c r="E130" s="49" t="s">
        <v>449</v>
      </c>
      <c r="F130" s="49" t="s">
        <v>450</v>
      </c>
      <c r="G130" s="49">
        <v>7200</v>
      </c>
      <c r="H130" s="50" t="s">
        <v>451</v>
      </c>
      <c r="I130" s="51">
        <v>1866</v>
      </c>
      <c r="J130" s="49">
        <v>428</v>
      </c>
      <c r="K130" s="49">
        <v>35</v>
      </c>
      <c r="L130" s="49" t="str">
        <f>IF(0.045*7200=0," ",TEXT(,ROUND((0.045*7200*4.33),2)))</f>
        <v>1402.92</v>
      </c>
      <c r="M130" s="49" t="s">
        <v>452</v>
      </c>
      <c r="N130" s="49" t="s">
        <v>453</v>
      </c>
      <c r="O130" s="52"/>
      <c r="P130" s="52"/>
      <c r="Q130" s="52"/>
      <c r="R130" s="52"/>
      <c r="S130" s="52"/>
      <c r="T130" s="53"/>
      <c r="U130" s="53"/>
      <c r="V130" s="53"/>
      <c r="W130" s="53"/>
      <c r="X130" s="53"/>
      <c r="Y130" s="53"/>
      <c r="Z130" s="53"/>
      <c r="AA130" s="53" t="s">
        <v>147</v>
      </c>
      <c r="AB130" s="53" t="s">
        <v>148</v>
      </c>
      <c r="AC130" s="53">
        <v>398</v>
      </c>
      <c r="AD130" s="53">
        <v>231</v>
      </c>
      <c r="AE130" s="53"/>
      <c r="AF130" s="53" t="s">
        <v>454</v>
      </c>
      <c r="AG130" s="53" t="s">
        <v>455</v>
      </c>
      <c r="AH130" s="53"/>
      <c r="AI130" s="53">
        <f>428+0</f>
        <v>428</v>
      </c>
    </row>
    <row r="131" spans="1:35" ht="69" customHeight="1" x14ac:dyDescent="0.2">
      <c r="A131" s="46">
        <v>87</v>
      </c>
      <c r="B131" s="47" t="s">
        <v>456</v>
      </c>
      <c r="C131" s="48" t="str">
        <f t="shared" ca="1" si="3"/>
        <v xml:space="preserve">Установка обрамления воздухозаборной шахты
1 т стальных элементов
636 руб. НР 99%=130%*(0,85*0,9) от ФОТ (642 руб.)
372 руб.СП 58%=85%*(0,8*0,85) от ФОТ (642 руб.)
</v>
      </c>
      <c r="D131" s="46">
        <v>0.1076</v>
      </c>
      <c r="E131" s="49" t="s">
        <v>457</v>
      </c>
      <c r="F131" s="49">
        <v>253.59</v>
      </c>
      <c r="G131" s="49">
        <v>10327.719999999999</v>
      </c>
      <c r="H131" s="50" t="s">
        <v>458</v>
      </c>
      <c r="I131" s="51">
        <v>8356</v>
      </c>
      <c r="J131" s="49">
        <v>642</v>
      </c>
      <c r="K131" s="49">
        <v>259</v>
      </c>
      <c r="L131" s="49" t="str">
        <f>IF(0.1076*10327.72=0," ",TEXT(,ROUND((0.1076*10327.72*6.71),2)))</f>
        <v>7456.57</v>
      </c>
      <c r="M131" s="49">
        <v>31.4</v>
      </c>
      <c r="N131" s="49">
        <v>3.38</v>
      </c>
      <c r="O131" s="52"/>
      <c r="P131" s="52"/>
      <c r="Q131" s="52"/>
      <c r="R131" s="52"/>
      <c r="S131" s="52"/>
      <c r="T131" s="53"/>
      <c r="U131" s="53"/>
      <c r="V131" s="53"/>
      <c r="W131" s="53"/>
      <c r="X131" s="53"/>
      <c r="Y131" s="53"/>
      <c r="Z131" s="53"/>
      <c r="AA131" s="53" t="s">
        <v>459</v>
      </c>
      <c r="AB131" s="53" t="s">
        <v>243</v>
      </c>
      <c r="AC131" s="53">
        <v>636</v>
      </c>
      <c r="AD131" s="53">
        <v>372</v>
      </c>
      <c r="AE131" s="53"/>
      <c r="AF131" s="53" t="s">
        <v>460</v>
      </c>
      <c r="AG131" s="53" t="s">
        <v>461</v>
      </c>
      <c r="AH131" s="53"/>
      <c r="AI131" s="53">
        <f>642+0</f>
        <v>642</v>
      </c>
    </row>
    <row r="132" spans="1:35" ht="82.5" customHeight="1" x14ac:dyDescent="0.2">
      <c r="A132" s="46">
        <v>88</v>
      </c>
      <c r="B132" s="47" t="s">
        <v>159</v>
      </c>
      <c r="C132" s="48" t="str">
        <f t="shared" ca="1" si="3"/>
        <v xml:space="preserve">Устройство покрытия из рулонных материалов: насухо без промазки кромок
100 м2 кровли
58 руб. НР 71%=83%*0,85 от ФОТ (82 руб.)
43 руб.СП 52%=65%*0,8 от ФОТ (82 руб.)
</v>
      </c>
      <c r="D132" s="46">
        <v>0.128</v>
      </c>
      <c r="E132" s="49" t="s">
        <v>160</v>
      </c>
      <c r="F132" s="49">
        <v>5.23</v>
      </c>
      <c r="G132" s="49">
        <v>883.33</v>
      </c>
      <c r="H132" s="50" t="s">
        <v>462</v>
      </c>
      <c r="I132" s="51">
        <v>678</v>
      </c>
      <c r="J132" s="49">
        <v>82</v>
      </c>
      <c r="K132" s="49">
        <v>9</v>
      </c>
      <c r="L132" s="49" t="str">
        <f>IF(0.128*883.33=0," ",TEXT(,ROUND((0.128*883.33*5.2),2)))</f>
        <v>587.94</v>
      </c>
      <c r="M132" s="49">
        <v>4.5199999999999996</v>
      </c>
      <c r="N132" s="49">
        <v>0.57999999999999996</v>
      </c>
      <c r="O132" s="52"/>
      <c r="P132" s="52"/>
      <c r="Q132" s="52"/>
      <c r="R132" s="52"/>
      <c r="S132" s="52"/>
      <c r="T132" s="53"/>
      <c r="U132" s="53"/>
      <c r="V132" s="53"/>
      <c r="W132" s="53"/>
      <c r="X132" s="53"/>
      <c r="Y132" s="53"/>
      <c r="Z132" s="53"/>
      <c r="AA132" s="53" t="s">
        <v>43</v>
      </c>
      <c r="AB132" s="53" t="s">
        <v>44</v>
      </c>
      <c r="AC132" s="53">
        <v>58</v>
      </c>
      <c r="AD132" s="53">
        <v>43</v>
      </c>
      <c r="AE132" s="53"/>
      <c r="AF132" s="53" t="s">
        <v>162</v>
      </c>
      <c r="AG132" s="53" t="s">
        <v>60</v>
      </c>
      <c r="AH132" s="53"/>
      <c r="AI132" s="53">
        <f>82+0</f>
        <v>82</v>
      </c>
    </row>
    <row r="133" spans="1:35" ht="52.5" customHeight="1" x14ac:dyDescent="0.2">
      <c r="A133" s="46">
        <v>89</v>
      </c>
      <c r="B133" s="47" t="s">
        <v>163</v>
      </c>
      <c r="C133" s="48" t="str">
        <f t="shared" ca="1" si="3"/>
        <v xml:space="preserve">Рубероид кровельный с крупнозернистой посыпкой марки: РКК-350б
м2
</v>
      </c>
      <c r="D133" s="46">
        <v>-14.72</v>
      </c>
      <c r="E133" s="49">
        <v>7.46</v>
      </c>
      <c r="F133" s="49"/>
      <c r="G133" s="49">
        <v>7.46</v>
      </c>
      <c r="H133" s="50" t="s">
        <v>164</v>
      </c>
      <c r="I133" s="51">
        <v>-550</v>
      </c>
      <c r="J133" s="49"/>
      <c r="K133" s="49"/>
      <c r="L133" s="49" t="str">
        <f>IF(-14.72*7.46=0," ",TEXT(,ROUND((-14.72*7.46*4.999),2)))</f>
        <v>-548.95</v>
      </c>
      <c r="M133" s="49"/>
      <c r="N133" s="49"/>
      <c r="O133" s="52"/>
      <c r="P133" s="52"/>
      <c r="Q133" s="52"/>
      <c r="R133" s="52"/>
      <c r="S133" s="52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 t="s">
        <v>165</v>
      </c>
      <c r="AG133" s="53" t="s">
        <v>139</v>
      </c>
      <c r="AH133" s="53"/>
      <c r="AI133" s="53">
        <f>0+0</f>
        <v>0</v>
      </c>
    </row>
    <row r="134" spans="1:35" ht="51" customHeight="1" x14ac:dyDescent="0.2">
      <c r="A134" s="46">
        <v>90</v>
      </c>
      <c r="B134" s="47" t="s">
        <v>166</v>
      </c>
      <c r="C134" s="48" t="str">
        <f t="shared" ca="1" si="3"/>
        <v xml:space="preserve">Изоспан: Двухслойная паропроницаемая мембрана марки В 13,60/5,58=2,44
м2
</v>
      </c>
      <c r="D134" s="46">
        <v>14.72</v>
      </c>
      <c r="E134" s="49">
        <v>2.44</v>
      </c>
      <c r="F134" s="49"/>
      <c r="G134" s="49">
        <v>2.44</v>
      </c>
      <c r="H134" s="50" t="s">
        <v>167</v>
      </c>
      <c r="I134" s="51">
        <v>201</v>
      </c>
      <c r="J134" s="49"/>
      <c r="K134" s="49"/>
      <c r="L134" s="49" t="str">
        <f>IF(14.72*2.44=0," ",TEXT(,ROUND((14.72*2.44*5.58),2)))</f>
        <v>200.42</v>
      </c>
      <c r="M134" s="49"/>
      <c r="N134" s="49"/>
      <c r="O134" s="52"/>
      <c r="P134" s="52"/>
      <c r="Q134" s="52"/>
      <c r="R134" s="52"/>
      <c r="S134" s="52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 t="s">
        <v>168</v>
      </c>
      <c r="AG134" s="53" t="s">
        <v>139</v>
      </c>
      <c r="AH134" s="53"/>
      <c r="AI134" s="53">
        <f>0+0</f>
        <v>0</v>
      </c>
    </row>
    <row r="135" spans="1:35" ht="107.25" customHeight="1" x14ac:dyDescent="0.2">
      <c r="A135" s="46">
        <v>91</v>
      </c>
      <c r="B135" s="47" t="s">
        <v>463</v>
      </c>
      <c r="C135" s="48" t="str">
        <f t="shared" ca="1" si="3"/>
        <v xml:space="preserve">Изоляция изделиями из волокнистых и зернистых материалов с креплением на клее и дюбелями холодных поверхностей: наружных стен
100 м2 поверхности
3635 руб. НР 77%=100%*(0,85*0,9) от ФОТ (4721 руб.)
2266 руб.СП 48%=70%*(0,8*0,85) от ФОТ (4721 руб.)
</v>
      </c>
      <c r="D135" s="46">
        <v>1.88</v>
      </c>
      <c r="E135" s="49" t="s">
        <v>464</v>
      </c>
      <c r="F135" s="49" t="s">
        <v>465</v>
      </c>
      <c r="G135" s="49">
        <v>105.45</v>
      </c>
      <c r="H135" s="50" t="s">
        <v>466</v>
      </c>
      <c r="I135" s="51">
        <v>5202</v>
      </c>
      <c r="J135" s="49">
        <v>4705</v>
      </c>
      <c r="K135" s="49" t="s">
        <v>467</v>
      </c>
      <c r="L135" s="49" t="str">
        <f>IF(1.88*105.45=0," ",TEXT(,ROUND((1.88*105.45*1.42),2)))</f>
        <v>281.51</v>
      </c>
      <c r="M135" s="49" t="s">
        <v>468</v>
      </c>
      <c r="N135" s="49" t="s">
        <v>469</v>
      </c>
      <c r="O135" s="52"/>
      <c r="P135" s="52"/>
      <c r="Q135" s="52"/>
      <c r="R135" s="52"/>
      <c r="S135" s="52"/>
      <c r="T135" s="53"/>
      <c r="U135" s="53"/>
      <c r="V135" s="53"/>
      <c r="W135" s="53"/>
      <c r="X135" s="53"/>
      <c r="Y135" s="53"/>
      <c r="Z135" s="53"/>
      <c r="AA135" s="53" t="s">
        <v>338</v>
      </c>
      <c r="AB135" s="53" t="s">
        <v>34</v>
      </c>
      <c r="AC135" s="53">
        <v>3635</v>
      </c>
      <c r="AD135" s="53">
        <v>2266</v>
      </c>
      <c r="AE135" s="53"/>
      <c r="AF135" s="53" t="s">
        <v>470</v>
      </c>
      <c r="AG135" s="53" t="s">
        <v>471</v>
      </c>
      <c r="AH135" s="53"/>
      <c r="AI135" s="53">
        <f>4705+16</f>
        <v>4721</v>
      </c>
    </row>
    <row r="136" spans="1:35" ht="62.25" customHeight="1" x14ac:dyDescent="0.2">
      <c r="A136" s="46">
        <v>92</v>
      </c>
      <c r="B136" s="47" t="s">
        <v>212</v>
      </c>
      <c r="C136" s="48" t="str">
        <f t="shared" ca="1" si="3"/>
        <v xml:space="preserve">Плиты теплоизоляционные энергетические гидрофобизированные базальтовые: ПТЭ-125 , размером 2000х1000х50 мм 3828,81/5,58=686,17
м3
</v>
      </c>
      <c r="D136" s="46" t="s">
        <v>472</v>
      </c>
      <c r="E136" s="49">
        <v>686.17</v>
      </c>
      <c r="F136" s="49"/>
      <c r="G136" s="49">
        <v>686.17</v>
      </c>
      <c r="H136" s="50" t="s">
        <v>167</v>
      </c>
      <c r="I136" s="51">
        <v>7416</v>
      </c>
      <c r="J136" s="49"/>
      <c r="K136" s="49"/>
      <c r="L136" s="49" t="str">
        <f>IF(1.9364*686.17=0," ",TEXT(,ROUND((1.9364*686.17*5.58),2)))</f>
        <v>7414.14</v>
      </c>
      <c r="M136" s="49"/>
      <c r="N136" s="49"/>
      <c r="O136" s="52"/>
      <c r="P136" s="52"/>
      <c r="Q136" s="52"/>
      <c r="R136" s="52"/>
      <c r="S136" s="52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 t="s">
        <v>214</v>
      </c>
      <c r="AG136" s="53" t="s">
        <v>196</v>
      </c>
      <c r="AH136" s="53"/>
      <c r="AI136" s="53">
        <f>0+0</f>
        <v>0</v>
      </c>
    </row>
    <row r="137" spans="1:35" ht="112.5" customHeight="1" x14ac:dyDescent="0.2">
      <c r="A137" s="46">
        <v>93</v>
      </c>
      <c r="B137" s="47" t="s">
        <v>473</v>
      </c>
      <c r="C137" s="48" t="str">
        <f t="shared" ca="1" si="3"/>
        <v xml:space="preserve">Обивка стен кровельной сталью: оцинкованной по войлоку под кровлей
100 м2 стен, фронтонов (за вычетом проемов) и развернутых поверхностей карнизов
1495 руб. НР 90%=118%*(0,85*0,9) от ФОТ (1661 руб.)
714 руб.СП 43%=63%*(0,8*0,85) от ФОТ (1661 руб.)
</v>
      </c>
      <c r="D137" s="46">
        <v>0.31900000000000001</v>
      </c>
      <c r="E137" s="49" t="s">
        <v>474</v>
      </c>
      <c r="F137" s="49">
        <v>18.309999999999999</v>
      </c>
      <c r="G137" s="49">
        <v>6695.89</v>
      </c>
      <c r="H137" s="50" t="s">
        <v>475</v>
      </c>
      <c r="I137" s="51">
        <v>9100</v>
      </c>
      <c r="J137" s="49">
        <v>1661</v>
      </c>
      <c r="K137" s="49">
        <v>91</v>
      </c>
      <c r="L137" s="49" t="str">
        <f>IF(0.319*6695.89=0," ",TEXT(,ROUND((0.319*6695.89*3.44),2)))</f>
        <v>7347.8</v>
      </c>
      <c r="M137" s="49">
        <v>33.4</v>
      </c>
      <c r="N137" s="49">
        <v>10.65</v>
      </c>
      <c r="O137" s="52"/>
      <c r="P137" s="52"/>
      <c r="Q137" s="52"/>
      <c r="R137" s="52"/>
      <c r="S137" s="52"/>
      <c r="T137" s="53"/>
      <c r="U137" s="53"/>
      <c r="V137" s="53"/>
      <c r="W137" s="53"/>
      <c r="X137" s="53"/>
      <c r="Y137" s="53"/>
      <c r="Z137" s="53"/>
      <c r="AA137" s="53" t="s">
        <v>71</v>
      </c>
      <c r="AB137" s="53" t="s">
        <v>72</v>
      </c>
      <c r="AC137" s="53">
        <v>1495</v>
      </c>
      <c r="AD137" s="53">
        <v>714</v>
      </c>
      <c r="AE137" s="53"/>
      <c r="AF137" s="53" t="s">
        <v>476</v>
      </c>
      <c r="AG137" s="53" t="s">
        <v>75</v>
      </c>
      <c r="AH137" s="53"/>
      <c r="AI137" s="53">
        <f>1661+0</f>
        <v>1661</v>
      </c>
    </row>
    <row r="138" spans="1:35" ht="39" customHeight="1" x14ac:dyDescent="0.2">
      <c r="A138" s="46">
        <v>94</v>
      </c>
      <c r="B138" s="47" t="s">
        <v>477</v>
      </c>
      <c r="C138" s="48" t="str">
        <f t="shared" ca="1" si="3"/>
        <v xml:space="preserve">Войлок строительный
т
</v>
      </c>
      <c r="D138" s="46">
        <v>-5.7419999999999999E-2</v>
      </c>
      <c r="E138" s="49">
        <v>9774.5</v>
      </c>
      <c r="F138" s="49"/>
      <c r="G138" s="49">
        <v>9774.5</v>
      </c>
      <c r="H138" s="50" t="s">
        <v>478</v>
      </c>
      <c r="I138" s="51">
        <v>-1516</v>
      </c>
      <c r="J138" s="49"/>
      <c r="K138" s="49"/>
      <c r="L138" s="49" t="str">
        <f>IF(-0.05742*9774.5=0," ",TEXT(,ROUND((-0.05742*9774.5*2.702),2)))</f>
        <v>-1516.5</v>
      </c>
      <c r="M138" s="49"/>
      <c r="N138" s="49"/>
      <c r="O138" s="52"/>
      <c r="P138" s="52"/>
      <c r="Q138" s="52"/>
      <c r="R138" s="52"/>
      <c r="S138" s="52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 t="s">
        <v>479</v>
      </c>
      <c r="AG138" s="53" t="s">
        <v>188</v>
      </c>
      <c r="AH138" s="53"/>
      <c r="AI138" s="53">
        <f>0+0</f>
        <v>0</v>
      </c>
    </row>
    <row r="139" spans="1:35" ht="108.75" customHeight="1" x14ac:dyDescent="0.2">
      <c r="A139" s="46">
        <v>95</v>
      </c>
      <c r="B139" s="47" t="s">
        <v>370</v>
      </c>
      <c r="C139" s="48" t="str">
        <f t="shared" ca="1" si="3"/>
        <v xml:space="preserve">Устройство мелких покрытий (брандмауэры, парапеты, свесы и т.п.) из листовой оцинкованной стали
100 м2 покрытия
3496 руб. НР 92%=120%*(0,85*0,9) от ФОТ (3800 руб.)
1672 руб.СП 44%=65%*(0,8*0,85) от ФОТ (3800 руб.)
</v>
      </c>
      <c r="D139" s="46">
        <v>0.2079</v>
      </c>
      <c r="E139" s="49" t="s">
        <v>371</v>
      </c>
      <c r="F139" s="49" t="s">
        <v>372</v>
      </c>
      <c r="G139" s="49">
        <v>8890.58</v>
      </c>
      <c r="H139" s="50" t="s">
        <v>373</v>
      </c>
      <c r="I139" s="51">
        <v>10619</v>
      </c>
      <c r="J139" s="49">
        <v>3784</v>
      </c>
      <c r="K139" s="49" t="s">
        <v>480</v>
      </c>
      <c r="L139" s="49" t="str">
        <f>IF(0.2079*8890.58=0," ",TEXT(,ROUND((0.2079*8890.58*3.66),2)))</f>
        <v>6764.97</v>
      </c>
      <c r="M139" s="49" t="s">
        <v>375</v>
      </c>
      <c r="N139" s="49" t="s">
        <v>481</v>
      </c>
      <c r="O139" s="52"/>
      <c r="P139" s="52"/>
      <c r="Q139" s="52"/>
      <c r="R139" s="52"/>
      <c r="S139" s="52"/>
      <c r="T139" s="53"/>
      <c r="U139" s="53"/>
      <c r="V139" s="53"/>
      <c r="W139" s="53"/>
      <c r="X139" s="53"/>
      <c r="Y139" s="53"/>
      <c r="Z139" s="53"/>
      <c r="AA139" s="53" t="s">
        <v>176</v>
      </c>
      <c r="AB139" s="53" t="s">
        <v>177</v>
      </c>
      <c r="AC139" s="53">
        <v>3496</v>
      </c>
      <c r="AD139" s="53">
        <v>1672</v>
      </c>
      <c r="AE139" s="53"/>
      <c r="AF139" s="53" t="s">
        <v>377</v>
      </c>
      <c r="AG139" s="53" t="s">
        <v>36</v>
      </c>
      <c r="AH139" s="53"/>
      <c r="AI139" s="53">
        <f>3784+16</f>
        <v>3800</v>
      </c>
    </row>
    <row r="140" spans="1:35" ht="85.5" customHeight="1" x14ac:dyDescent="0.2">
      <c r="A140" s="46">
        <v>96</v>
      </c>
      <c r="B140" s="47" t="s">
        <v>482</v>
      </c>
      <c r="C140" s="48" t="str">
        <f t="shared" ca="1" si="3"/>
        <v xml:space="preserve">Установка зонтов над шахтами из листовой стали прямоугольного сечения периметром : 3200 мм
1 зонт
742 руб. НР 98%=128%*(0,85*0,9) от ФОТ (757 руб.)
424 руб.СП 56%=83%*(0,8*0,85) от ФОТ (757 руб.)
</v>
      </c>
      <c r="D140" s="46">
        <v>2</v>
      </c>
      <c r="E140" s="49" t="s">
        <v>483</v>
      </c>
      <c r="F140" s="49" t="s">
        <v>484</v>
      </c>
      <c r="G140" s="49">
        <v>8.08</v>
      </c>
      <c r="H140" s="50" t="s">
        <v>485</v>
      </c>
      <c r="I140" s="51">
        <v>956</v>
      </c>
      <c r="J140" s="49">
        <v>757</v>
      </c>
      <c r="K140" s="49">
        <v>104</v>
      </c>
      <c r="L140" s="49" t="str">
        <f>IF(2*8.08=0," ",TEXT(,ROUND((2*8.08*5.89),2)))</f>
        <v>95.18</v>
      </c>
      <c r="M140" s="49" t="s">
        <v>486</v>
      </c>
      <c r="N140" s="49" t="s">
        <v>487</v>
      </c>
      <c r="O140" s="52"/>
      <c r="P140" s="52"/>
      <c r="Q140" s="52"/>
      <c r="R140" s="52"/>
      <c r="S140" s="52"/>
      <c r="T140" s="53"/>
      <c r="U140" s="53"/>
      <c r="V140" s="53"/>
      <c r="W140" s="53"/>
      <c r="X140" s="53"/>
      <c r="Y140" s="53"/>
      <c r="Z140" s="53"/>
      <c r="AA140" s="53" t="s">
        <v>99</v>
      </c>
      <c r="AB140" s="53" t="s">
        <v>100</v>
      </c>
      <c r="AC140" s="53">
        <v>742</v>
      </c>
      <c r="AD140" s="53">
        <v>424</v>
      </c>
      <c r="AE140" s="53"/>
      <c r="AF140" s="53" t="s">
        <v>488</v>
      </c>
      <c r="AG140" s="53" t="s">
        <v>489</v>
      </c>
      <c r="AH140" s="53"/>
      <c r="AI140" s="53">
        <f>757+0</f>
        <v>757</v>
      </c>
    </row>
    <row r="141" spans="1:35" ht="69.75" customHeight="1" x14ac:dyDescent="0.2">
      <c r="A141" s="46">
        <v>97</v>
      </c>
      <c r="B141" s="47" t="s">
        <v>490</v>
      </c>
      <c r="C141" s="48" t="str">
        <f t="shared" ca="1" si="3"/>
        <v xml:space="preserve">Зонты вентиляционных систем из листовой оцинкованной стали: прямоугольные, периметром шахты 3200 мм
шт.
</v>
      </c>
      <c r="D141" s="46">
        <v>2</v>
      </c>
      <c r="E141" s="49">
        <v>361.2</v>
      </c>
      <c r="F141" s="49"/>
      <c r="G141" s="49">
        <v>361.2</v>
      </c>
      <c r="H141" s="50" t="s">
        <v>491</v>
      </c>
      <c r="I141" s="51">
        <v>4137</v>
      </c>
      <c r="J141" s="49"/>
      <c r="K141" s="49"/>
      <c r="L141" s="49" t="str">
        <f>IF(2*361.2=0," ",TEXT(,ROUND((2*361.2*5.73),2)))</f>
        <v>4139.35</v>
      </c>
      <c r="M141" s="49"/>
      <c r="N141" s="49"/>
      <c r="O141" s="52"/>
      <c r="P141" s="52"/>
      <c r="Q141" s="52"/>
      <c r="R141" s="52"/>
      <c r="S141" s="52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 t="s">
        <v>492</v>
      </c>
      <c r="AG141" s="53" t="s">
        <v>248</v>
      </c>
      <c r="AH141" s="53"/>
      <c r="AI141" s="53">
        <f>0+0</f>
        <v>0</v>
      </c>
    </row>
    <row r="142" spans="1:35" ht="80.25" customHeight="1" x14ac:dyDescent="0.2">
      <c r="A142" s="46">
        <v>98</v>
      </c>
      <c r="B142" s="47" t="s">
        <v>493</v>
      </c>
      <c r="C142" s="48" t="str">
        <f t="shared" ca="1" si="3"/>
        <v xml:space="preserve">Установка зонтов над шахтами из листовой стали прямоугольного сечения периметром : 2000 мм
1 зонт
597 руб. НР 98%=128%*(0,85*0,9) от ФОТ (609 руб.)
341 руб.СП 56%=83%*(0,8*0,85) от ФОТ (609 руб.)
</v>
      </c>
      <c r="D142" s="46">
        <v>3</v>
      </c>
      <c r="E142" s="49" t="s">
        <v>494</v>
      </c>
      <c r="F142" s="49">
        <v>2.56</v>
      </c>
      <c r="G142" s="49">
        <v>5.92</v>
      </c>
      <c r="H142" s="50" t="s">
        <v>485</v>
      </c>
      <c r="I142" s="51">
        <v>788</v>
      </c>
      <c r="J142" s="49">
        <v>609</v>
      </c>
      <c r="K142" s="49">
        <v>74</v>
      </c>
      <c r="L142" s="49" t="str">
        <f>IF(3*5.92=0," ",TEXT(,ROUND((3*5.92*5.89),2)))</f>
        <v>104.61</v>
      </c>
      <c r="M142" s="49">
        <v>1.2</v>
      </c>
      <c r="N142" s="49">
        <v>3.6</v>
      </c>
      <c r="O142" s="52"/>
      <c r="P142" s="52"/>
      <c r="Q142" s="52"/>
      <c r="R142" s="52"/>
      <c r="S142" s="52"/>
      <c r="T142" s="53"/>
      <c r="U142" s="53"/>
      <c r="V142" s="53"/>
      <c r="W142" s="53"/>
      <c r="X142" s="53"/>
      <c r="Y142" s="53"/>
      <c r="Z142" s="53"/>
      <c r="AA142" s="53" t="s">
        <v>99</v>
      </c>
      <c r="AB142" s="53" t="s">
        <v>100</v>
      </c>
      <c r="AC142" s="53">
        <v>597</v>
      </c>
      <c r="AD142" s="53">
        <v>341</v>
      </c>
      <c r="AE142" s="53"/>
      <c r="AF142" s="53" t="s">
        <v>495</v>
      </c>
      <c r="AG142" s="53" t="s">
        <v>489</v>
      </c>
      <c r="AH142" s="53"/>
      <c r="AI142" s="53">
        <f>609+0</f>
        <v>609</v>
      </c>
    </row>
    <row r="143" spans="1:35" ht="76.5" x14ac:dyDescent="0.2">
      <c r="A143" s="56">
        <v>99</v>
      </c>
      <c r="B143" s="57" t="s">
        <v>496</v>
      </c>
      <c r="C143" s="58" t="str">
        <f t="shared" ca="1" si="3"/>
        <v xml:space="preserve">Зонты вентиляционных систем из листовой оцинкованной стали: прямоугольные, периметром шахты 2000 мм
шт.
</v>
      </c>
      <c r="D143" s="56">
        <v>3</v>
      </c>
      <c r="E143" s="59">
        <v>260</v>
      </c>
      <c r="F143" s="59"/>
      <c r="G143" s="59">
        <v>260</v>
      </c>
      <c r="H143" s="60" t="s">
        <v>497</v>
      </c>
      <c r="I143" s="61">
        <v>3430</v>
      </c>
      <c r="J143" s="59"/>
      <c r="K143" s="59"/>
      <c r="L143" s="59" t="str">
        <f>IF(3*260=0," ",TEXT(,ROUND((3*260*4.398),2)))</f>
        <v>3430.44</v>
      </c>
      <c r="M143" s="59"/>
      <c r="N143" s="59"/>
      <c r="O143" s="52"/>
      <c r="P143" s="52"/>
      <c r="Q143" s="52"/>
      <c r="R143" s="52"/>
      <c r="S143" s="52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 t="s">
        <v>498</v>
      </c>
      <c r="AG143" s="53" t="s">
        <v>248</v>
      </c>
      <c r="AH143" s="53"/>
      <c r="AI143" s="53">
        <f>0+0</f>
        <v>0</v>
      </c>
    </row>
    <row r="144" spans="1:35" ht="25.5" x14ac:dyDescent="0.2">
      <c r="A144" s="69" t="s">
        <v>112</v>
      </c>
      <c r="B144" s="64"/>
      <c r="C144" s="64"/>
      <c r="D144" s="64"/>
      <c r="E144" s="64"/>
      <c r="F144" s="64"/>
      <c r="G144" s="64"/>
      <c r="H144" s="64"/>
      <c r="I144" s="51">
        <v>13988</v>
      </c>
      <c r="J144" s="49">
        <v>1011</v>
      </c>
      <c r="K144" s="49" t="s">
        <v>499</v>
      </c>
      <c r="L144" s="49">
        <v>12719</v>
      </c>
      <c r="M144" s="49"/>
      <c r="N144" s="49" t="s">
        <v>500</v>
      </c>
      <c r="O144" s="18"/>
      <c r="P144" s="19"/>
      <c r="Q144" s="18"/>
      <c r="R144" s="18"/>
      <c r="S144" s="18"/>
    </row>
    <row r="145" spans="1:35" ht="25.5" x14ac:dyDescent="0.2">
      <c r="A145" s="69" t="s">
        <v>251</v>
      </c>
      <c r="B145" s="64"/>
      <c r="C145" s="64"/>
      <c r="D145" s="64"/>
      <c r="E145" s="64"/>
      <c r="F145" s="64"/>
      <c r="G145" s="64"/>
      <c r="H145" s="64"/>
      <c r="I145" s="51">
        <v>14204</v>
      </c>
      <c r="J145" s="49">
        <v>1161</v>
      </c>
      <c r="K145" s="49" t="s">
        <v>501</v>
      </c>
      <c r="L145" s="49">
        <v>12719</v>
      </c>
      <c r="M145" s="49"/>
      <c r="N145" s="49" t="s">
        <v>502</v>
      </c>
      <c r="O145" s="18"/>
      <c r="P145" s="19"/>
      <c r="Q145" s="18"/>
      <c r="R145" s="18"/>
      <c r="S145" s="18"/>
    </row>
    <row r="146" spans="1:35" x14ac:dyDescent="0.2">
      <c r="A146" s="69" t="s">
        <v>254</v>
      </c>
      <c r="B146" s="64"/>
      <c r="C146" s="64"/>
      <c r="D146" s="64"/>
      <c r="E146" s="64"/>
      <c r="F146" s="64"/>
      <c r="G146" s="64"/>
      <c r="H146" s="64"/>
      <c r="I146" s="51"/>
      <c r="J146" s="49"/>
      <c r="K146" s="49"/>
      <c r="L146" s="49"/>
      <c r="M146" s="49"/>
      <c r="N146" s="49"/>
      <c r="O146" s="18"/>
      <c r="P146" s="19"/>
      <c r="Q146" s="18"/>
      <c r="R146" s="18"/>
      <c r="S146" s="18"/>
    </row>
    <row r="147" spans="1:35" ht="27.95" customHeight="1" x14ac:dyDescent="0.2">
      <c r="A147" s="69" t="s">
        <v>503</v>
      </c>
      <c r="B147" s="64"/>
      <c r="C147" s="64"/>
      <c r="D147" s="64"/>
      <c r="E147" s="64"/>
      <c r="F147" s="64"/>
      <c r="G147" s="64"/>
      <c r="H147" s="64"/>
      <c r="I147" s="51">
        <v>216</v>
      </c>
      <c r="J147" s="49">
        <v>151</v>
      </c>
      <c r="K147" s="49" t="s">
        <v>504</v>
      </c>
      <c r="L147" s="49"/>
      <c r="M147" s="49"/>
      <c r="N147" s="49" t="s">
        <v>505</v>
      </c>
      <c r="O147" s="18"/>
      <c r="P147" s="19"/>
      <c r="Q147" s="18"/>
      <c r="R147" s="18"/>
      <c r="S147" s="18"/>
    </row>
    <row r="148" spans="1:35" ht="25.5" x14ac:dyDescent="0.2">
      <c r="A148" s="69" t="s">
        <v>115</v>
      </c>
      <c r="B148" s="64"/>
      <c r="C148" s="64"/>
      <c r="D148" s="64"/>
      <c r="E148" s="64"/>
      <c r="F148" s="64"/>
      <c r="G148" s="64"/>
      <c r="H148" s="64"/>
      <c r="I148" s="51">
        <v>81854</v>
      </c>
      <c r="J148" s="49">
        <v>19100</v>
      </c>
      <c r="K148" s="49" t="s">
        <v>506</v>
      </c>
      <c r="L148" s="49">
        <v>59191</v>
      </c>
      <c r="M148" s="49"/>
      <c r="N148" s="49" t="s">
        <v>502</v>
      </c>
      <c r="O148" s="18"/>
      <c r="P148" s="19"/>
      <c r="Q148" s="18"/>
      <c r="R148" s="18"/>
      <c r="S148" s="18"/>
    </row>
    <row r="149" spans="1:35" x14ac:dyDescent="0.2">
      <c r="A149" s="69" t="s">
        <v>117</v>
      </c>
      <c r="B149" s="64"/>
      <c r="C149" s="64"/>
      <c r="D149" s="64"/>
      <c r="E149" s="64"/>
      <c r="F149" s="64"/>
      <c r="G149" s="64"/>
      <c r="H149" s="64"/>
      <c r="I149" s="51">
        <v>17574</v>
      </c>
      <c r="J149" s="49"/>
      <c r="K149" s="49"/>
      <c r="L149" s="49"/>
      <c r="M149" s="49"/>
      <c r="N149" s="49"/>
      <c r="O149" s="18"/>
      <c r="P149" s="19"/>
      <c r="Q149" s="18"/>
      <c r="R149" s="18"/>
      <c r="S149" s="18"/>
    </row>
    <row r="150" spans="1:35" x14ac:dyDescent="0.2">
      <c r="A150" s="69" t="s">
        <v>118</v>
      </c>
      <c r="B150" s="64"/>
      <c r="C150" s="64"/>
      <c r="D150" s="64"/>
      <c r="E150" s="64"/>
      <c r="F150" s="64"/>
      <c r="G150" s="64"/>
      <c r="H150" s="64"/>
      <c r="I150" s="51">
        <v>9847</v>
      </c>
      <c r="J150" s="49"/>
      <c r="K150" s="49"/>
      <c r="L150" s="49"/>
      <c r="M150" s="49"/>
      <c r="N150" s="49"/>
      <c r="O150" s="18"/>
      <c r="P150" s="19"/>
      <c r="Q150" s="18"/>
      <c r="R150" s="18"/>
      <c r="S150" s="18"/>
    </row>
    <row r="151" spans="1:35" ht="25.5" x14ac:dyDescent="0.2">
      <c r="A151" s="67" t="s">
        <v>507</v>
      </c>
      <c r="B151" s="68"/>
      <c r="C151" s="68"/>
      <c r="D151" s="68"/>
      <c r="E151" s="68"/>
      <c r="F151" s="68"/>
      <c r="G151" s="68"/>
      <c r="H151" s="68"/>
      <c r="I151" s="61">
        <v>109275</v>
      </c>
      <c r="J151" s="59"/>
      <c r="K151" s="59"/>
      <c r="L151" s="59"/>
      <c r="M151" s="59"/>
      <c r="N151" s="59" t="s">
        <v>502</v>
      </c>
      <c r="O151" s="18"/>
      <c r="P151" s="19"/>
      <c r="Q151" s="18"/>
      <c r="R151" s="18"/>
      <c r="S151" s="18"/>
    </row>
    <row r="152" spans="1:35" ht="21" customHeight="1" x14ac:dyDescent="0.2">
      <c r="A152" s="70" t="s">
        <v>508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</row>
    <row r="153" spans="1:35" ht="107.25" customHeight="1" x14ac:dyDescent="0.2">
      <c r="A153" s="46">
        <v>100</v>
      </c>
      <c r="B153" s="47" t="s">
        <v>509</v>
      </c>
      <c r="C153" s="48" t="str">
        <f t="shared" ref="C153:C162" ca="1" si="4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Прокладка трубопроводов канализации из полиэтиленовых труб высокой плотности диаметром: 110 мм
100 м трубопровода
2370 руб. НР 98%=128%*(0,85*0,9) от ФОТ (2418 руб.)
1354 руб.СП 56%=83%*(0,8*0,85) от ФОТ (2418 руб.)
</v>
      </c>
      <c r="D153" s="46" t="s">
        <v>510</v>
      </c>
      <c r="E153" s="49" t="s">
        <v>511</v>
      </c>
      <c r="F153" s="49" t="s">
        <v>512</v>
      </c>
      <c r="G153" s="49">
        <v>7166.84</v>
      </c>
      <c r="H153" s="50" t="s">
        <v>97</v>
      </c>
      <c r="I153" s="51">
        <v>7156</v>
      </c>
      <c r="J153" s="49">
        <v>2418</v>
      </c>
      <c r="K153" s="49">
        <v>11</v>
      </c>
      <c r="L153" s="49" t="str">
        <f>IF(0.21*7166.84=0," ",TEXT(,ROUND((0.21*7166.84*3.14),2)))</f>
        <v>4725.81</v>
      </c>
      <c r="M153" s="49" t="s">
        <v>513</v>
      </c>
      <c r="N153" s="49" t="s">
        <v>514</v>
      </c>
      <c r="O153" s="52"/>
      <c r="P153" s="52"/>
      <c r="Q153" s="52"/>
      <c r="R153" s="52"/>
      <c r="S153" s="52"/>
      <c r="T153" s="53"/>
      <c r="U153" s="53"/>
      <c r="V153" s="53"/>
      <c r="W153" s="53"/>
      <c r="X153" s="53"/>
      <c r="Y153" s="53"/>
      <c r="Z153" s="53"/>
      <c r="AA153" s="53" t="s">
        <v>99</v>
      </c>
      <c r="AB153" s="53" t="s">
        <v>100</v>
      </c>
      <c r="AC153" s="53">
        <v>2370</v>
      </c>
      <c r="AD153" s="53">
        <v>1354</v>
      </c>
      <c r="AE153" s="53"/>
      <c r="AF153" s="53" t="s">
        <v>515</v>
      </c>
      <c r="AG153" s="53" t="s">
        <v>103</v>
      </c>
      <c r="AH153" s="53"/>
      <c r="AI153" s="53">
        <f>2418+0</f>
        <v>2418</v>
      </c>
    </row>
    <row r="154" spans="1:35" ht="94.5" customHeight="1" x14ac:dyDescent="0.2">
      <c r="A154" s="46">
        <v>101</v>
      </c>
      <c r="B154" s="47" t="s">
        <v>516</v>
      </c>
      <c r="C154" s="48" t="str">
        <f t="shared" ca="1" si="4"/>
        <v xml:space="preserve">Установка пароизоляционного слоя из: пленки полиэтиленовой (без стекловолокнистых материалов)
100 м2 поверхности покрытия изоляции
102 руб. НР 77%=100%*(0,85*0,9) от ФОТ (132 руб.)
63 руб.СП 48%=70%*(0,8*0,85) от ФОТ (132 руб.)
</v>
      </c>
      <c r="D154" s="46" t="s">
        <v>517</v>
      </c>
      <c r="E154" s="49" t="s">
        <v>518</v>
      </c>
      <c r="F154" s="49">
        <v>21.79</v>
      </c>
      <c r="G154" s="49">
        <v>1385.68</v>
      </c>
      <c r="H154" s="50" t="s">
        <v>519</v>
      </c>
      <c r="I154" s="51">
        <v>291</v>
      </c>
      <c r="J154" s="49">
        <v>132</v>
      </c>
      <c r="K154" s="49">
        <v>11</v>
      </c>
      <c r="L154" s="49" t="str">
        <f>IF(0.0553*1385.68=0," ",TEXT(,ROUND((0.0553*1385.68*1.92),2)))</f>
        <v>147.13</v>
      </c>
      <c r="M154" s="49">
        <v>14.36</v>
      </c>
      <c r="N154" s="49">
        <v>0.79</v>
      </c>
      <c r="O154" s="52"/>
      <c r="P154" s="52"/>
      <c r="Q154" s="52"/>
      <c r="R154" s="52"/>
      <c r="S154" s="52"/>
      <c r="T154" s="53"/>
      <c r="U154" s="53"/>
      <c r="V154" s="53"/>
      <c r="W154" s="53"/>
      <c r="X154" s="53"/>
      <c r="Y154" s="53"/>
      <c r="Z154" s="53"/>
      <c r="AA154" s="53" t="s">
        <v>338</v>
      </c>
      <c r="AB154" s="53" t="s">
        <v>34</v>
      </c>
      <c r="AC154" s="53">
        <v>102</v>
      </c>
      <c r="AD154" s="53">
        <v>63</v>
      </c>
      <c r="AE154" s="53"/>
      <c r="AF154" s="53" t="s">
        <v>520</v>
      </c>
      <c r="AG154" s="53" t="s">
        <v>521</v>
      </c>
      <c r="AH154" s="53"/>
      <c r="AI154" s="53">
        <f>132+0</f>
        <v>132</v>
      </c>
    </row>
    <row r="155" spans="1:35" ht="63.75" x14ac:dyDescent="0.2">
      <c r="A155" s="46">
        <v>102</v>
      </c>
      <c r="B155" s="47" t="s">
        <v>522</v>
      </c>
      <c r="C155" s="48" t="str">
        <f t="shared" ca="1" si="4"/>
        <v xml:space="preserve">Пленка полиэтиленовая толщиной: 0,2-0,5 мм, изоловая
м2
</v>
      </c>
      <c r="D155" s="46">
        <v>-6.36</v>
      </c>
      <c r="E155" s="49">
        <v>4.82</v>
      </c>
      <c r="F155" s="49"/>
      <c r="G155" s="49">
        <v>4.82</v>
      </c>
      <c r="H155" s="50" t="s">
        <v>523</v>
      </c>
      <c r="I155" s="51">
        <v>-38</v>
      </c>
      <c r="J155" s="49"/>
      <c r="K155" s="49"/>
      <c r="L155" s="49" t="str">
        <f>IF(-6.36*4.82=0," ",TEXT(,ROUND((-6.36*4.82*1.221),2)))</f>
        <v>-37.43</v>
      </c>
      <c r="M155" s="49"/>
      <c r="N155" s="49"/>
      <c r="O155" s="52"/>
      <c r="P155" s="52"/>
      <c r="Q155" s="52"/>
      <c r="R155" s="52"/>
      <c r="S155" s="52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 t="s">
        <v>524</v>
      </c>
      <c r="AG155" s="53" t="s">
        <v>139</v>
      </c>
      <c r="AH155" s="53"/>
      <c r="AI155" s="53">
        <f>0+0</f>
        <v>0</v>
      </c>
    </row>
    <row r="156" spans="1:35" ht="63.75" x14ac:dyDescent="0.2">
      <c r="A156" s="46">
        <v>103</v>
      </c>
      <c r="B156" s="47" t="s">
        <v>166</v>
      </c>
      <c r="C156" s="48" t="str">
        <f t="shared" ca="1" si="4"/>
        <v xml:space="preserve">Изоспан: Двухслойная паропроницаемая мембрана марки В 13,90/5,58=2,49
м2
</v>
      </c>
      <c r="D156" s="46">
        <v>6.36</v>
      </c>
      <c r="E156" s="49">
        <v>2.4900000000000002</v>
      </c>
      <c r="F156" s="49"/>
      <c r="G156" s="49">
        <v>2.4900000000000002</v>
      </c>
      <c r="H156" s="50" t="s">
        <v>167</v>
      </c>
      <c r="I156" s="51">
        <v>89</v>
      </c>
      <c r="J156" s="49"/>
      <c r="K156" s="49"/>
      <c r="L156" s="49" t="str">
        <f>IF(6.36*2.49=0," ",TEXT(,ROUND((6.36*2.49*5.58),2)))</f>
        <v>88.37</v>
      </c>
      <c r="M156" s="49"/>
      <c r="N156" s="49"/>
      <c r="O156" s="52"/>
      <c r="P156" s="52"/>
      <c r="Q156" s="52"/>
      <c r="R156" s="52"/>
      <c r="S156" s="52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 t="s">
        <v>525</v>
      </c>
      <c r="AG156" s="53" t="s">
        <v>139</v>
      </c>
      <c r="AH156" s="53"/>
      <c r="AI156" s="53">
        <f>0+0</f>
        <v>0</v>
      </c>
    </row>
    <row r="157" spans="1:35" ht="140.25" x14ac:dyDescent="0.2">
      <c r="A157" s="46">
        <v>104</v>
      </c>
      <c r="B157" s="47" t="s">
        <v>526</v>
      </c>
      <c r="C157" s="48" t="str">
        <f t="shared" ca="1" si="4"/>
        <v xml:space="preserve">Изоляция трубопроводов: матами минераловатными марок 75, 100, плитами минераловатными на синтетическом связующем марки 75
1 м3 изоляции
1495 руб. НР 77%=100%*(0,85*0,9) от ФОТ (1941 руб.)
932 руб.СП 48%=70%*(0,8*0,85) от ФОТ (1941 руб.)
</v>
      </c>
      <c r="D157" s="46" t="s">
        <v>527</v>
      </c>
      <c r="E157" s="49" t="s">
        <v>528</v>
      </c>
      <c r="F157" s="49">
        <v>57.15</v>
      </c>
      <c r="G157" s="49">
        <v>1320.96</v>
      </c>
      <c r="H157" s="50" t="s">
        <v>529</v>
      </c>
      <c r="I157" s="51">
        <v>4947</v>
      </c>
      <c r="J157" s="49">
        <v>1941</v>
      </c>
      <c r="K157" s="49">
        <v>453</v>
      </c>
      <c r="L157" s="49" t="str">
        <f>IF(0.56*1320.96=0," ",TEXT(,ROUND((0.56*1320.96*3.45),2)))</f>
        <v>2552.09</v>
      </c>
      <c r="M157" s="49">
        <v>18.850000000000001</v>
      </c>
      <c r="N157" s="49">
        <v>10.56</v>
      </c>
      <c r="O157" s="52"/>
      <c r="P157" s="52"/>
      <c r="Q157" s="52"/>
      <c r="R157" s="52"/>
      <c r="S157" s="52"/>
      <c r="T157" s="53"/>
      <c r="U157" s="53"/>
      <c r="V157" s="53"/>
      <c r="W157" s="53"/>
      <c r="X157" s="53"/>
      <c r="Y157" s="53"/>
      <c r="Z157" s="53"/>
      <c r="AA157" s="53" t="s">
        <v>338</v>
      </c>
      <c r="AB157" s="53" t="s">
        <v>34</v>
      </c>
      <c r="AC157" s="53">
        <v>1495</v>
      </c>
      <c r="AD157" s="53">
        <v>932</v>
      </c>
      <c r="AE157" s="53"/>
      <c r="AF157" s="53" t="s">
        <v>530</v>
      </c>
      <c r="AG157" s="53" t="s">
        <v>531</v>
      </c>
      <c r="AH157" s="53"/>
      <c r="AI157" s="53">
        <f>1941+0</f>
        <v>1941</v>
      </c>
    </row>
    <row r="158" spans="1:35" ht="63.75" x14ac:dyDescent="0.2">
      <c r="A158" s="46">
        <v>105</v>
      </c>
      <c r="B158" s="47" t="s">
        <v>532</v>
      </c>
      <c r="C158" s="48" t="str">
        <f t="shared" ca="1" si="4"/>
        <v xml:space="preserve">Маты прошивные из минеральной ваты: без обкладок М-100, толщина 60 мм
м3
</v>
      </c>
      <c r="D158" s="46">
        <v>-0.86240000000000006</v>
      </c>
      <c r="E158" s="49">
        <v>542.4</v>
      </c>
      <c r="F158" s="49"/>
      <c r="G158" s="49">
        <v>542.4</v>
      </c>
      <c r="H158" s="50" t="s">
        <v>533</v>
      </c>
      <c r="I158" s="51">
        <v>-1602</v>
      </c>
      <c r="J158" s="49"/>
      <c r="K158" s="49"/>
      <c r="L158" s="49" t="str">
        <f>IF(-0.8624*542.4=0," ",TEXT(,ROUND((-0.8624*542.4*3.423),2)))</f>
        <v>-1601.16</v>
      </c>
      <c r="M158" s="49"/>
      <c r="N158" s="49"/>
      <c r="O158" s="52"/>
      <c r="P158" s="52"/>
      <c r="Q158" s="52"/>
      <c r="R158" s="52"/>
      <c r="S158" s="52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 t="s">
        <v>534</v>
      </c>
      <c r="AG158" s="53" t="s">
        <v>196</v>
      </c>
      <c r="AH158" s="53"/>
      <c r="AI158" s="53">
        <f>0+0</f>
        <v>0</v>
      </c>
    </row>
    <row r="159" spans="1:35" ht="63.75" x14ac:dyDescent="0.2">
      <c r="A159" s="46">
        <v>106</v>
      </c>
      <c r="B159" s="47" t="s">
        <v>535</v>
      </c>
      <c r="C159" s="48" t="str">
        <f t="shared" ca="1" si="4"/>
        <v xml:space="preserve">Утеплитель URSA: М 15, толщиной 50 мм 64,28/5,58=11,52
м2
</v>
      </c>
      <c r="D159" s="46" t="s">
        <v>536</v>
      </c>
      <c r="E159" s="49">
        <v>11.52</v>
      </c>
      <c r="F159" s="49"/>
      <c r="G159" s="49">
        <v>11.52</v>
      </c>
      <c r="H159" s="50" t="s">
        <v>167</v>
      </c>
      <c r="I159" s="51">
        <v>742</v>
      </c>
      <c r="J159" s="49"/>
      <c r="K159" s="49"/>
      <c r="L159" s="49" t="str">
        <f>IF(11.536*11.52=0," ",TEXT(,ROUND((11.536*11.52*5.58),2)))</f>
        <v>741.55</v>
      </c>
      <c r="M159" s="49"/>
      <c r="N159" s="49"/>
      <c r="O159" s="52"/>
      <c r="P159" s="52"/>
      <c r="Q159" s="52"/>
      <c r="R159" s="52"/>
      <c r="S159" s="52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 t="s">
        <v>537</v>
      </c>
      <c r="AG159" s="53" t="s">
        <v>139</v>
      </c>
      <c r="AH159" s="53"/>
      <c r="AI159" s="53">
        <f>0+0</f>
        <v>0</v>
      </c>
    </row>
    <row r="160" spans="1:35" ht="150.75" customHeight="1" x14ac:dyDescent="0.2">
      <c r="A160" s="46">
        <v>107</v>
      </c>
      <c r="B160" s="47" t="s">
        <v>538</v>
      </c>
      <c r="C160" s="48" t="str">
        <f t="shared" ca="1" si="4"/>
        <v xml:space="preserve">Обертывание поверхности изоляции рулонными материалами насухо с проклейкой швов
100 м2 поверхности покрытия изоляции
КОЭФ. К ПОЗИЦИИ:
В 2 слоя ПЗ=2 (ОЗП=2; ЭМ=2 к расх.; ЗПМ=2; МАТ=2 к расх.; ТЗ=2; ТЗМ=2);
материалы МАТ=0 к расх.
1254 руб. НР 77%=100%*(0,85*0,9) от ФОТ (1629 руб.)
782 руб.СП 48%=70%*(0,8*0,85) от ФОТ (1629 руб.)
</v>
      </c>
      <c r="D160" s="46">
        <v>0.15575</v>
      </c>
      <c r="E160" s="49" t="s">
        <v>539</v>
      </c>
      <c r="F160" s="49">
        <v>101.18</v>
      </c>
      <c r="G160" s="49"/>
      <c r="H160" s="50" t="s">
        <v>540</v>
      </c>
      <c r="I160" s="51">
        <v>1837</v>
      </c>
      <c r="J160" s="49">
        <v>1629</v>
      </c>
      <c r="K160" s="49">
        <v>208</v>
      </c>
      <c r="L160" s="49" t="str">
        <f>IF(0.15575*0=0," ",TEXT(,ROUND((0.15575*0*9.73),2)))</f>
        <v xml:space="preserve"> </v>
      </c>
      <c r="M160" s="49">
        <v>63.96</v>
      </c>
      <c r="N160" s="49">
        <v>9.9600000000000009</v>
      </c>
      <c r="O160" s="52"/>
      <c r="P160" s="52"/>
      <c r="Q160" s="52"/>
      <c r="R160" s="52"/>
      <c r="S160" s="52"/>
      <c r="T160" s="53"/>
      <c r="U160" s="53"/>
      <c r="V160" s="53"/>
      <c r="W160" s="53"/>
      <c r="X160" s="53"/>
      <c r="Y160" s="53"/>
      <c r="Z160" s="53"/>
      <c r="AA160" s="53" t="s">
        <v>338</v>
      </c>
      <c r="AB160" s="53" t="s">
        <v>34</v>
      </c>
      <c r="AC160" s="53">
        <v>1254</v>
      </c>
      <c r="AD160" s="53">
        <v>782</v>
      </c>
      <c r="AE160" s="55" t="s">
        <v>541</v>
      </c>
      <c r="AF160" s="53" t="s">
        <v>542</v>
      </c>
      <c r="AG160" s="53" t="s">
        <v>521</v>
      </c>
      <c r="AH160" s="53"/>
      <c r="AI160" s="53">
        <f>1629+0</f>
        <v>1629</v>
      </c>
    </row>
    <row r="161" spans="1:35" ht="51" x14ac:dyDescent="0.2">
      <c r="A161" s="46">
        <v>108</v>
      </c>
      <c r="B161" s="47" t="s">
        <v>543</v>
      </c>
      <c r="C161" s="48" t="str">
        <f t="shared" ca="1" si="4"/>
        <v xml:space="preserve">Ткань стеклянная конструкционная марки: Т-13
1000 м2
</v>
      </c>
      <c r="D161" s="46" t="s">
        <v>544</v>
      </c>
      <c r="E161" s="49">
        <v>15914</v>
      </c>
      <c r="F161" s="49"/>
      <c r="G161" s="49">
        <v>15914</v>
      </c>
      <c r="H161" s="50" t="s">
        <v>545</v>
      </c>
      <c r="I161" s="51">
        <v>1207</v>
      </c>
      <c r="J161" s="49"/>
      <c r="K161" s="49"/>
      <c r="L161" s="49" t="str">
        <f>IF(0.034265*15914=0," ",TEXT(,ROUND((0.034265*15914*2.215),2)))</f>
        <v>1207.82</v>
      </c>
      <c r="M161" s="49"/>
      <c r="N161" s="49"/>
      <c r="O161" s="52"/>
      <c r="P161" s="52"/>
      <c r="Q161" s="52"/>
      <c r="R161" s="52"/>
      <c r="S161" s="52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 t="s">
        <v>546</v>
      </c>
      <c r="AG161" s="53" t="s">
        <v>547</v>
      </c>
      <c r="AH161" s="53"/>
      <c r="AI161" s="53">
        <f>0+0</f>
        <v>0</v>
      </c>
    </row>
    <row r="162" spans="1:35" ht="93" customHeight="1" x14ac:dyDescent="0.2">
      <c r="A162" s="56">
        <v>109</v>
      </c>
      <c r="B162" s="57" t="s">
        <v>548</v>
      </c>
      <c r="C162" s="58" t="str">
        <f t="shared" ca="1" si="4"/>
        <v xml:space="preserve">Покрытие поверхности изоляции трубопроводов: сталью оцинкованной
100 м2 поверхности покрытия изоляции
4623 руб. НР 77%=100%*(0,85*0,9) от ФОТ (6004 руб.)
2882 руб.СП 48%=70%*(0,8*0,85) от ФОТ (6004 руб.)
</v>
      </c>
      <c r="D162" s="56" t="s">
        <v>549</v>
      </c>
      <c r="E162" s="59" t="s">
        <v>550</v>
      </c>
      <c r="F162" s="59">
        <v>969.06</v>
      </c>
      <c r="G162" s="59">
        <v>12722.28</v>
      </c>
      <c r="H162" s="60" t="s">
        <v>551</v>
      </c>
      <c r="I162" s="61">
        <v>19388</v>
      </c>
      <c r="J162" s="59">
        <v>6004</v>
      </c>
      <c r="K162" s="59">
        <v>2070</v>
      </c>
      <c r="L162" s="59" t="str">
        <f>IF(0.2185*12722.28=0," ",TEXT(,ROUND((0.2185*12722.28*4.07),2)))</f>
        <v>11313.86</v>
      </c>
      <c r="M162" s="59">
        <v>148.52000000000001</v>
      </c>
      <c r="N162" s="59">
        <v>32.450000000000003</v>
      </c>
      <c r="O162" s="52"/>
      <c r="P162" s="52"/>
      <c r="Q162" s="52"/>
      <c r="R162" s="52"/>
      <c r="S162" s="52"/>
      <c r="T162" s="53"/>
      <c r="U162" s="53"/>
      <c r="V162" s="53"/>
      <c r="W162" s="53"/>
      <c r="X162" s="53"/>
      <c r="Y162" s="53"/>
      <c r="Z162" s="53"/>
      <c r="AA162" s="53" t="s">
        <v>338</v>
      </c>
      <c r="AB162" s="53" t="s">
        <v>34</v>
      </c>
      <c r="AC162" s="53">
        <v>4623</v>
      </c>
      <c r="AD162" s="53">
        <v>2882</v>
      </c>
      <c r="AE162" s="53"/>
      <c r="AF162" s="53" t="s">
        <v>552</v>
      </c>
      <c r="AG162" s="53" t="s">
        <v>521</v>
      </c>
      <c r="AH162" s="53"/>
      <c r="AI162" s="53">
        <f>6004+0</f>
        <v>6004</v>
      </c>
    </row>
    <row r="163" spans="1:35" ht="25.5" x14ac:dyDescent="0.2">
      <c r="A163" s="69" t="s">
        <v>112</v>
      </c>
      <c r="B163" s="64"/>
      <c r="C163" s="64"/>
      <c r="D163" s="64"/>
      <c r="E163" s="64"/>
      <c r="F163" s="64"/>
      <c r="G163" s="64"/>
      <c r="H163" s="64"/>
      <c r="I163" s="51">
        <v>6200</v>
      </c>
      <c r="J163" s="49">
        <v>641</v>
      </c>
      <c r="K163" s="49">
        <v>262</v>
      </c>
      <c r="L163" s="49">
        <v>5297</v>
      </c>
      <c r="M163" s="49"/>
      <c r="N163" s="49" t="s">
        <v>553</v>
      </c>
      <c r="O163" s="18"/>
      <c r="P163" s="19"/>
      <c r="Q163" s="18"/>
      <c r="R163" s="18"/>
      <c r="S163" s="18"/>
    </row>
    <row r="164" spans="1:35" ht="25.5" x14ac:dyDescent="0.2">
      <c r="A164" s="69" t="s">
        <v>251</v>
      </c>
      <c r="B164" s="64"/>
      <c r="C164" s="64"/>
      <c r="D164" s="64"/>
      <c r="E164" s="64"/>
      <c r="F164" s="64"/>
      <c r="G164" s="64"/>
      <c r="H164" s="64"/>
      <c r="I164" s="51">
        <v>6361</v>
      </c>
      <c r="J164" s="49">
        <v>737</v>
      </c>
      <c r="K164" s="49">
        <v>327</v>
      </c>
      <c r="L164" s="49">
        <v>5297</v>
      </c>
      <c r="M164" s="49"/>
      <c r="N164" s="49" t="s">
        <v>554</v>
      </c>
      <c r="O164" s="18"/>
      <c r="P164" s="19"/>
      <c r="Q164" s="18"/>
      <c r="R164" s="18"/>
      <c r="S164" s="18"/>
    </row>
    <row r="165" spans="1:35" x14ac:dyDescent="0.2">
      <c r="A165" s="69" t="s">
        <v>254</v>
      </c>
      <c r="B165" s="64"/>
      <c r="C165" s="64"/>
      <c r="D165" s="64"/>
      <c r="E165" s="64"/>
      <c r="F165" s="64"/>
      <c r="G165" s="64"/>
      <c r="H165" s="64"/>
      <c r="I165" s="51"/>
      <c r="J165" s="49"/>
      <c r="K165" s="49"/>
      <c r="L165" s="49"/>
      <c r="M165" s="49"/>
      <c r="N165" s="49"/>
      <c r="O165" s="18"/>
      <c r="P165" s="19"/>
      <c r="Q165" s="18"/>
      <c r="R165" s="18"/>
      <c r="S165" s="18"/>
    </row>
    <row r="166" spans="1:35" ht="27.95" customHeight="1" x14ac:dyDescent="0.2">
      <c r="A166" s="69" t="s">
        <v>555</v>
      </c>
      <c r="B166" s="64"/>
      <c r="C166" s="64"/>
      <c r="D166" s="64"/>
      <c r="E166" s="64"/>
      <c r="F166" s="64"/>
      <c r="G166" s="64"/>
      <c r="H166" s="64"/>
      <c r="I166" s="51">
        <v>161</v>
      </c>
      <c r="J166" s="49">
        <v>96</v>
      </c>
      <c r="K166" s="49">
        <v>66</v>
      </c>
      <c r="L166" s="49"/>
      <c r="M166" s="49"/>
      <c r="N166" s="49" t="s">
        <v>556</v>
      </c>
      <c r="O166" s="18"/>
      <c r="P166" s="19"/>
      <c r="Q166" s="18"/>
      <c r="R166" s="18"/>
      <c r="S166" s="18"/>
    </row>
    <row r="167" spans="1:35" ht="25.5" x14ac:dyDescent="0.2">
      <c r="A167" s="69" t="s">
        <v>115</v>
      </c>
      <c r="B167" s="64"/>
      <c r="C167" s="64"/>
      <c r="D167" s="64"/>
      <c r="E167" s="64"/>
      <c r="F167" s="64"/>
      <c r="G167" s="64"/>
      <c r="H167" s="64"/>
      <c r="I167" s="51">
        <v>34017</v>
      </c>
      <c r="J167" s="49">
        <v>12124</v>
      </c>
      <c r="K167" s="49">
        <v>2753</v>
      </c>
      <c r="L167" s="49">
        <v>19140</v>
      </c>
      <c r="M167" s="49"/>
      <c r="N167" s="49" t="s">
        <v>554</v>
      </c>
      <c r="O167" s="18"/>
      <c r="P167" s="19"/>
      <c r="Q167" s="18"/>
      <c r="R167" s="18"/>
      <c r="S167" s="18"/>
    </row>
    <row r="168" spans="1:35" x14ac:dyDescent="0.2">
      <c r="A168" s="69" t="s">
        <v>117</v>
      </c>
      <c r="B168" s="64"/>
      <c r="C168" s="64"/>
      <c r="D168" s="64"/>
      <c r="E168" s="64"/>
      <c r="F168" s="64"/>
      <c r="G168" s="64"/>
      <c r="H168" s="64"/>
      <c r="I168" s="51">
        <v>9844</v>
      </c>
      <c r="J168" s="49"/>
      <c r="K168" s="49"/>
      <c r="L168" s="49"/>
      <c r="M168" s="49"/>
      <c r="N168" s="49"/>
      <c r="O168" s="18"/>
      <c r="P168" s="19"/>
      <c r="Q168" s="18"/>
      <c r="R168" s="18"/>
      <c r="S168" s="18"/>
    </row>
    <row r="169" spans="1:35" x14ac:dyDescent="0.2">
      <c r="A169" s="69" t="s">
        <v>118</v>
      </c>
      <c r="B169" s="64"/>
      <c r="C169" s="64"/>
      <c r="D169" s="64"/>
      <c r="E169" s="64"/>
      <c r="F169" s="64"/>
      <c r="G169" s="64"/>
      <c r="H169" s="64"/>
      <c r="I169" s="51">
        <v>6013</v>
      </c>
      <c r="J169" s="49"/>
      <c r="K169" s="49"/>
      <c r="L169" s="49"/>
      <c r="M169" s="49"/>
      <c r="N169" s="49"/>
      <c r="O169" s="18"/>
      <c r="P169" s="19"/>
      <c r="Q169" s="18"/>
      <c r="R169" s="18"/>
      <c r="S169" s="18"/>
    </row>
    <row r="170" spans="1:35" ht="25.5" x14ac:dyDescent="0.2">
      <c r="A170" s="67" t="s">
        <v>557</v>
      </c>
      <c r="B170" s="68"/>
      <c r="C170" s="68"/>
      <c r="D170" s="68"/>
      <c r="E170" s="68"/>
      <c r="F170" s="68"/>
      <c r="G170" s="68"/>
      <c r="H170" s="68"/>
      <c r="I170" s="61">
        <v>49874</v>
      </c>
      <c r="J170" s="59"/>
      <c r="K170" s="59"/>
      <c r="L170" s="59"/>
      <c r="M170" s="59"/>
      <c r="N170" s="59" t="s">
        <v>554</v>
      </c>
      <c r="O170" s="18"/>
      <c r="P170" s="19"/>
      <c r="Q170" s="18"/>
      <c r="R170" s="18"/>
      <c r="S170" s="18"/>
    </row>
    <row r="171" spans="1:35" ht="21" customHeight="1" x14ac:dyDescent="0.2">
      <c r="A171" s="70" t="s">
        <v>558</v>
      </c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</row>
    <row r="172" spans="1:35" ht="102" x14ac:dyDescent="0.2">
      <c r="A172" s="46">
        <v>110</v>
      </c>
      <c r="B172" s="47" t="s">
        <v>559</v>
      </c>
      <c r="C172" s="48" t="str">
        <f t="shared" ref="C172:C177" ca="1" si="5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Проводник заземляющий открыто по строительным основаниям: из круглой стали диаметром 8 мм
100 м
4304 руб. НР 81%=95%*0,85 от ФОТ (5313 руб.)
2763 руб.СП 52%=65%*0,8 от ФОТ (5313 руб.)
</v>
      </c>
      <c r="D172" s="46">
        <v>1.694</v>
      </c>
      <c r="E172" s="49" t="s">
        <v>560</v>
      </c>
      <c r="F172" s="49" t="s">
        <v>561</v>
      </c>
      <c r="G172" s="49">
        <v>301.01</v>
      </c>
      <c r="H172" s="50" t="s">
        <v>562</v>
      </c>
      <c r="I172" s="51">
        <v>7839</v>
      </c>
      <c r="J172" s="49">
        <v>5264</v>
      </c>
      <c r="K172" s="49" t="s">
        <v>563</v>
      </c>
      <c r="L172" s="49" t="str">
        <f>IF(1.694*301.01=0," ",TEXT(,ROUND((1.694*301.01*3.63),2)))</f>
        <v>1850.98</v>
      </c>
      <c r="M172" s="49" t="s">
        <v>564</v>
      </c>
      <c r="N172" s="49" t="s">
        <v>565</v>
      </c>
      <c r="O172" s="52"/>
      <c r="P172" s="52"/>
      <c r="Q172" s="52"/>
      <c r="R172" s="52"/>
      <c r="S172" s="52"/>
      <c r="T172" s="53"/>
      <c r="U172" s="53"/>
      <c r="V172" s="53"/>
      <c r="W172" s="53"/>
      <c r="X172" s="53"/>
      <c r="Y172" s="53"/>
      <c r="Z172" s="53"/>
      <c r="AA172" s="53" t="s">
        <v>566</v>
      </c>
      <c r="AB172" s="53" t="s">
        <v>44</v>
      </c>
      <c r="AC172" s="53">
        <v>4304</v>
      </c>
      <c r="AD172" s="53">
        <v>2763</v>
      </c>
      <c r="AE172" s="53"/>
      <c r="AF172" s="53" t="s">
        <v>567</v>
      </c>
      <c r="AG172" s="53" t="s">
        <v>265</v>
      </c>
      <c r="AH172" s="53"/>
      <c r="AI172" s="53">
        <f>5264+49</f>
        <v>5313</v>
      </c>
    </row>
    <row r="173" spans="1:35" ht="102" x14ac:dyDescent="0.2">
      <c r="A173" s="46">
        <v>111</v>
      </c>
      <c r="B173" s="47" t="s">
        <v>559</v>
      </c>
      <c r="C173" s="48" t="str">
        <f t="shared" ca="1" si="5"/>
        <v xml:space="preserve">Проводник заземляющий открыто по строительным основаниям: из круглой стали диаметром 8 мм
100 м
626 руб. НР 81%=95%*0,85 от ФОТ (773 руб.)
402 руб.СП 52%=65%*0,8 от ФОТ (773 руб.)
</v>
      </c>
      <c r="D173" s="46">
        <v>0.248</v>
      </c>
      <c r="E173" s="49" t="s">
        <v>560</v>
      </c>
      <c r="F173" s="49" t="s">
        <v>561</v>
      </c>
      <c r="G173" s="49">
        <v>301.01</v>
      </c>
      <c r="H173" s="50" t="s">
        <v>562</v>
      </c>
      <c r="I173" s="51">
        <v>1153</v>
      </c>
      <c r="J173" s="49">
        <v>773</v>
      </c>
      <c r="K173" s="49">
        <v>108</v>
      </c>
      <c r="L173" s="49" t="str">
        <f>IF(0.248*301.01=0," ",TEXT(,ROUND((0.248*301.01*3.63),2)))</f>
        <v>270.98</v>
      </c>
      <c r="M173" s="49" t="s">
        <v>564</v>
      </c>
      <c r="N173" s="49" t="s">
        <v>568</v>
      </c>
      <c r="O173" s="52"/>
      <c r="P173" s="52"/>
      <c r="Q173" s="52"/>
      <c r="R173" s="52"/>
      <c r="S173" s="52"/>
      <c r="T173" s="53"/>
      <c r="U173" s="53"/>
      <c r="V173" s="53"/>
      <c r="W173" s="53"/>
      <c r="X173" s="53"/>
      <c r="Y173" s="53"/>
      <c r="Z173" s="53"/>
      <c r="AA173" s="53" t="s">
        <v>566</v>
      </c>
      <c r="AB173" s="53" t="s">
        <v>44</v>
      </c>
      <c r="AC173" s="53">
        <v>626</v>
      </c>
      <c r="AD173" s="53">
        <v>402</v>
      </c>
      <c r="AE173" s="53"/>
      <c r="AF173" s="53" t="s">
        <v>567</v>
      </c>
      <c r="AG173" s="53" t="s">
        <v>265</v>
      </c>
      <c r="AH173" s="53"/>
      <c r="AI173" s="53">
        <f>773+0</f>
        <v>773</v>
      </c>
    </row>
    <row r="174" spans="1:35" ht="63.75" x14ac:dyDescent="0.2">
      <c r="A174" s="46">
        <v>112</v>
      </c>
      <c r="B174" s="47" t="s">
        <v>569</v>
      </c>
      <c r="C174" s="48" t="str">
        <f t="shared" ca="1" si="5"/>
        <v xml:space="preserve">Сталь листовая углеродистая обыкновенного качества марки ВСт3пс5 толщиной: 4-6 мм
т
</v>
      </c>
      <c r="D174" s="46" t="s">
        <v>570</v>
      </c>
      <c r="E174" s="49">
        <v>5763</v>
      </c>
      <c r="F174" s="49"/>
      <c r="G174" s="49">
        <v>5763</v>
      </c>
      <c r="H174" s="50" t="s">
        <v>571</v>
      </c>
      <c r="I174" s="51">
        <v>-2358</v>
      </c>
      <c r="J174" s="49"/>
      <c r="K174" s="49"/>
      <c r="L174" s="49" t="str">
        <f>IF(-0.07768*5763=0," ",TEXT(,ROUND((-0.07768*5763*5.264),2)))</f>
        <v>-2356.53</v>
      </c>
      <c r="M174" s="49"/>
      <c r="N174" s="49"/>
      <c r="O174" s="52"/>
      <c r="P174" s="52"/>
      <c r="Q174" s="52"/>
      <c r="R174" s="52"/>
      <c r="S174" s="52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 t="s">
        <v>572</v>
      </c>
      <c r="AG174" s="53" t="s">
        <v>188</v>
      </c>
      <c r="AH174" s="53"/>
      <c r="AI174" s="53">
        <f>0+0</f>
        <v>0</v>
      </c>
    </row>
    <row r="175" spans="1:35" ht="63.75" x14ac:dyDescent="0.2">
      <c r="A175" s="46">
        <v>113</v>
      </c>
      <c r="B175" s="47" t="s">
        <v>573</v>
      </c>
      <c r="C175" s="48" t="str">
        <f t="shared" ca="1" si="5"/>
        <v xml:space="preserve">Сталь круглая углеродистая обыкновенного качества марки ВСт3пс5-1 диаметром: 8 мм
т
</v>
      </c>
      <c r="D175" s="46" t="s">
        <v>574</v>
      </c>
      <c r="E175" s="49">
        <v>5230.01</v>
      </c>
      <c r="F175" s="49"/>
      <c r="G175" s="49">
        <v>5230.01</v>
      </c>
      <c r="H175" s="50" t="s">
        <v>575</v>
      </c>
      <c r="I175" s="51">
        <v>2222</v>
      </c>
      <c r="J175" s="49"/>
      <c r="K175" s="49"/>
      <c r="L175" s="49" t="str">
        <f>IF(0.07663*5230.01=0," ",TEXT(,ROUND((0.07663*5230.01*5.541),2)))</f>
        <v>2220.7</v>
      </c>
      <c r="M175" s="49"/>
      <c r="N175" s="49"/>
      <c r="O175" s="52"/>
      <c r="P175" s="52"/>
      <c r="Q175" s="52"/>
      <c r="R175" s="52"/>
      <c r="S175" s="52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 t="s">
        <v>576</v>
      </c>
      <c r="AG175" s="53" t="s">
        <v>188</v>
      </c>
      <c r="AH175" s="53"/>
      <c r="AI175" s="53">
        <f>0+0</f>
        <v>0</v>
      </c>
    </row>
    <row r="176" spans="1:35" ht="89.25" x14ac:dyDescent="0.2">
      <c r="A176" s="46">
        <v>114</v>
      </c>
      <c r="B176" s="47" t="s">
        <v>577</v>
      </c>
      <c r="C176" s="48" t="str">
        <f t="shared" ca="1" si="5"/>
        <v xml:space="preserve">Проводник заземляющий скрыто в земле из стали: круглой диаметром 16 мм
100 м
3332 руб. НР 81%=95%*0,85 от ФОТ (4113 руб.)
2139 руб.СП 52%=65%*0,8 от ФОТ (4113 руб.)
</v>
      </c>
      <c r="D176" s="46">
        <v>1.4279999999999999</v>
      </c>
      <c r="E176" s="49" t="s">
        <v>578</v>
      </c>
      <c r="F176" s="49" t="s">
        <v>579</v>
      </c>
      <c r="G176" s="49">
        <v>41.16</v>
      </c>
      <c r="H176" s="50" t="s">
        <v>580</v>
      </c>
      <c r="I176" s="51">
        <v>6349</v>
      </c>
      <c r="J176" s="49">
        <v>3932</v>
      </c>
      <c r="K176" s="49" t="s">
        <v>581</v>
      </c>
      <c r="L176" s="49" t="str">
        <f>IF(1.428*41.16=0," ",TEXT(,ROUND((1.428*41.16*3.65),2)))</f>
        <v>214.53</v>
      </c>
      <c r="M176" s="49" t="s">
        <v>582</v>
      </c>
      <c r="N176" s="49" t="s">
        <v>583</v>
      </c>
      <c r="O176" s="52"/>
      <c r="P176" s="52"/>
      <c r="Q176" s="52"/>
      <c r="R176" s="52"/>
      <c r="S176" s="52"/>
      <c r="T176" s="53"/>
      <c r="U176" s="53"/>
      <c r="V176" s="53"/>
      <c r="W176" s="53"/>
      <c r="X176" s="53"/>
      <c r="Y176" s="53"/>
      <c r="Z176" s="53"/>
      <c r="AA176" s="53" t="s">
        <v>566</v>
      </c>
      <c r="AB176" s="53" t="s">
        <v>44</v>
      </c>
      <c r="AC176" s="53">
        <v>3332</v>
      </c>
      <c r="AD176" s="53">
        <v>2139</v>
      </c>
      <c r="AE176" s="53"/>
      <c r="AF176" s="53" t="s">
        <v>584</v>
      </c>
      <c r="AG176" s="53" t="s">
        <v>265</v>
      </c>
      <c r="AH176" s="53"/>
      <c r="AI176" s="53">
        <f>3932+181</f>
        <v>4113</v>
      </c>
    </row>
    <row r="177" spans="1:35" ht="63.75" x14ac:dyDescent="0.2">
      <c r="A177" s="56">
        <v>115</v>
      </c>
      <c r="B177" s="57" t="s">
        <v>585</v>
      </c>
      <c r="C177" s="58" t="str">
        <f t="shared" ca="1" si="5"/>
        <v xml:space="preserve">Сталь круглая углеродистая обыкновенного качества марки ВСт3пс5-1 диаметром: 18 мм
т
</v>
      </c>
      <c r="D177" s="56">
        <v>0.22561999999999999</v>
      </c>
      <c r="E177" s="59">
        <v>5230.01</v>
      </c>
      <c r="F177" s="59"/>
      <c r="G177" s="59">
        <v>5230.01</v>
      </c>
      <c r="H177" s="60" t="s">
        <v>586</v>
      </c>
      <c r="I177" s="61">
        <v>6461</v>
      </c>
      <c r="J177" s="59"/>
      <c r="K177" s="59"/>
      <c r="L177" s="59" t="str">
        <f>IF(0.22562*5230.01=0," ",TEXT(,ROUND((0.22562*5230.01*5.475),2)))</f>
        <v>6460.47</v>
      </c>
      <c r="M177" s="59"/>
      <c r="N177" s="59"/>
      <c r="O177" s="52"/>
      <c r="P177" s="52"/>
      <c r="Q177" s="52"/>
      <c r="R177" s="52"/>
      <c r="S177" s="52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 t="s">
        <v>587</v>
      </c>
      <c r="AG177" s="53" t="s">
        <v>188</v>
      </c>
      <c r="AH177" s="53"/>
      <c r="AI177" s="53">
        <f>0+0</f>
        <v>0</v>
      </c>
    </row>
    <row r="178" spans="1:35" ht="25.5" x14ac:dyDescent="0.2">
      <c r="A178" s="69" t="s">
        <v>112</v>
      </c>
      <c r="B178" s="64"/>
      <c r="C178" s="64"/>
      <c r="D178" s="64"/>
      <c r="E178" s="64"/>
      <c r="F178" s="64"/>
      <c r="G178" s="64"/>
      <c r="H178" s="64"/>
      <c r="I178" s="51">
        <v>2739</v>
      </c>
      <c r="J178" s="49">
        <v>606</v>
      </c>
      <c r="K178" s="49" t="s">
        <v>588</v>
      </c>
      <c r="L178" s="49">
        <v>1777</v>
      </c>
      <c r="M178" s="49"/>
      <c r="N178" s="49" t="s">
        <v>589</v>
      </c>
      <c r="O178" s="18"/>
      <c r="P178" s="19"/>
      <c r="Q178" s="18"/>
      <c r="R178" s="18"/>
      <c r="S178" s="18"/>
    </row>
    <row r="179" spans="1:35" ht="25.5" x14ac:dyDescent="0.2">
      <c r="A179" s="69" t="s">
        <v>115</v>
      </c>
      <c r="B179" s="64"/>
      <c r="C179" s="64"/>
      <c r="D179" s="64"/>
      <c r="E179" s="64"/>
      <c r="F179" s="64"/>
      <c r="G179" s="64"/>
      <c r="H179" s="64"/>
      <c r="I179" s="51">
        <v>21666</v>
      </c>
      <c r="J179" s="49">
        <v>9969</v>
      </c>
      <c r="K179" s="49" t="s">
        <v>590</v>
      </c>
      <c r="L179" s="49">
        <v>8664</v>
      </c>
      <c r="M179" s="49"/>
      <c r="N179" s="49" t="s">
        <v>589</v>
      </c>
      <c r="O179" s="18"/>
      <c r="P179" s="19"/>
      <c r="Q179" s="18"/>
      <c r="R179" s="18"/>
      <c r="S179" s="18"/>
    </row>
    <row r="180" spans="1:35" x14ac:dyDescent="0.2">
      <c r="A180" s="69" t="s">
        <v>117</v>
      </c>
      <c r="B180" s="64"/>
      <c r="C180" s="64"/>
      <c r="D180" s="64"/>
      <c r="E180" s="64"/>
      <c r="F180" s="64"/>
      <c r="G180" s="64"/>
      <c r="H180" s="64"/>
      <c r="I180" s="51">
        <v>8261</v>
      </c>
      <c r="J180" s="49"/>
      <c r="K180" s="49"/>
      <c r="L180" s="49"/>
      <c r="M180" s="49"/>
      <c r="N180" s="49"/>
      <c r="O180" s="18"/>
      <c r="P180" s="19"/>
      <c r="Q180" s="18"/>
      <c r="R180" s="18"/>
      <c r="S180" s="18"/>
    </row>
    <row r="181" spans="1:35" x14ac:dyDescent="0.2">
      <c r="A181" s="69" t="s">
        <v>118</v>
      </c>
      <c r="B181" s="64"/>
      <c r="C181" s="64"/>
      <c r="D181" s="64"/>
      <c r="E181" s="64"/>
      <c r="F181" s="64"/>
      <c r="G181" s="64"/>
      <c r="H181" s="64"/>
      <c r="I181" s="51">
        <v>5303</v>
      </c>
      <c r="J181" s="49"/>
      <c r="K181" s="49"/>
      <c r="L181" s="49"/>
      <c r="M181" s="49"/>
      <c r="N181" s="49"/>
      <c r="O181" s="18"/>
      <c r="P181" s="19"/>
      <c r="Q181" s="18"/>
      <c r="R181" s="18"/>
      <c r="S181" s="18"/>
    </row>
    <row r="182" spans="1:35" ht="25.5" x14ac:dyDescent="0.2">
      <c r="A182" s="67" t="s">
        <v>591</v>
      </c>
      <c r="B182" s="68"/>
      <c r="C182" s="68"/>
      <c r="D182" s="68"/>
      <c r="E182" s="68"/>
      <c r="F182" s="68"/>
      <c r="G182" s="68"/>
      <c r="H182" s="68"/>
      <c r="I182" s="61">
        <v>35230</v>
      </c>
      <c r="J182" s="59"/>
      <c r="K182" s="59"/>
      <c r="L182" s="59"/>
      <c r="M182" s="59"/>
      <c r="N182" s="59" t="s">
        <v>589</v>
      </c>
      <c r="O182" s="18"/>
      <c r="P182" s="19"/>
      <c r="Q182" s="18"/>
      <c r="R182" s="18"/>
      <c r="S182" s="18"/>
    </row>
    <row r="183" spans="1:35" ht="21" customHeight="1" x14ac:dyDescent="0.2">
      <c r="A183" s="70" t="s">
        <v>592</v>
      </c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</row>
    <row r="184" spans="1:35" ht="84" customHeight="1" x14ac:dyDescent="0.2">
      <c r="A184" s="46">
        <v>116</v>
      </c>
      <c r="B184" s="47" t="s">
        <v>593</v>
      </c>
      <c r="C184" s="48" t="str">
        <f t="shared" ref="C184:C193" ca="1" si="6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Разборка покрытий и оснований: асфальтобетонных с помощью молотков отбойных
100 м3 конструкций
4082 руб. НР 88%=104%*0,85 от ФОТ (4639 руб.)
2227 руб.СП 48%=60%*0,8 от ФОТ (4639 руб.)
</v>
      </c>
      <c r="D184" s="46">
        <v>0.1152</v>
      </c>
      <c r="E184" s="49" t="s">
        <v>594</v>
      </c>
      <c r="F184" s="49" t="s">
        <v>595</v>
      </c>
      <c r="G184" s="49"/>
      <c r="H184" s="50" t="s">
        <v>596</v>
      </c>
      <c r="I184" s="51">
        <v>7891</v>
      </c>
      <c r="J184" s="49">
        <v>3833</v>
      </c>
      <c r="K184" s="49" t="s">
        <v>597</v>
      </c>
      <c r="L184" s="49" t="str">
        <f>IF(0.1152*0=0," ",TEXT(,ROUND((0.1152*0*1),2)))</f>
        <v xml:space="preserve"> </v>
      </c>
      <c r="M184" s="49" t="s">
        <v>598</v>
      </c>
      <c r="N184" s="49" t="s">
        <v>599</v>
      </c>
      <c r="O184" s="52"/>
      <c r="P184" s="52"/>
      <c r="Q184" s="52"/>
      <c r="R184" s="52"/>
      <c r="S184" s="52"/>
      <c r="T184" s="53"/>
      <c r="U184" s="53"/>
      <c r="V184" s="53"/>
      <c r="W184" s="53"/>
      <c r="X184" s="53"/>
      <c r="Y184" s="53"/>
      <c r="Z184" s="53"/>
      <c r="AA184" s="53" t="s">
        <v>600</v>
      </c>
      <c r="AB184" s="53" t="s">
        <v>601</v>
      </c>
      <c r="AC184" s="53">
        <v>4082</v>
      </c>
      <c r="AD184" s="53">
        <v>2227</v>
      </c>
      <c r="AE184" s="53"/>
      <c r="AF184" s="53" t="s">
        <v>602</v>
      </c>
      <c r="AG184" s="53" t="s">
        <v>603</v>
      </c>
      <c r="AH184" s="53"/>
      <c r="AI184" s="53">
        <f>3833+806</f>
        <v>4639</v>
      </c>
    </row>
    <row r="185" spans="1:35" ht="97.5" customHeight="1" x14ac:dyDescent="0.2">
      <c r="A185" s="46">
        <v>117</v>
      </c>
      <c r="B185" s="47" t="s">
        <v>604</v>
      </c>
      <c r="C185" s="48" t="str">
        <f t="shared" ca="1" si="6"/>
        <v xml:space="preserve">Разработка траншей экскаватором «обратная лопата» с ковшом вместимостью 0,25 м3, группа грунтов: 2
1000 м3 грунта
228 руб. НР 73%=95%*(0,85*0,9) от ФОТ (313 руб.)
106 руб.СП 34%=50%*(0,8*0,85) от ФОТ (313 руб.)
</v>
      </c>
      <c r="D185" s="46">
        <v>2.4E-2</v>
      </c>
      <c r="E185" s="49">
        <v>3717.53</v>
      </c>
      <c r="F185" s="49" t="s">
        <v>605</v>
      </c>
      <c r="G185" s="49"/>
      <c r="H185" s="50" t="s">
        <v>606</v>
      </c>
      <c r="I185" s="51">
        <v>1292</v>
      </c>
      <c r="J185" s="49"/>
      <c r="K185" s="49" t="s">
        <v>607</v>
      </c>
      <c r="L185" s="49" t="str">
        <f>IF(0.024*0=0," ",TEXT(,ROUND((0.024*0*1),2)))</f>
        <v xml:space="preserve"> </v>
      </c>
      <c r="M185" s="49" t="s">
        <v>608</v>
      </c>
      <c r="N185" s="49" t="s">
        <v>609</v>
      </c>
      <c r="O185" s="52"/>
      <c r="P185" s="52"/>
      <c r="Q185" s="52"/>
      <c r="R185" s="52"/>
      <c r="S185" s="52"/>
      <c r="T185" s="53"/>
      <c r="U185" s="53"/>
      <c r="V185" s="53"/>
      <c r="W185" s="53"/>
      <c r="X185" s="53"/>
      <c r="Y185" s="53"/>
      <c r="Z185" s="53"/>
      <c r="AA185" s="53" t="s">
        <v>610</v>
      </c>
      <c r="AB185" s="53" t="s">
        <v>611</v>
      </c>
      <c r="AC185" s="53">
        <v>228</v>
      </c>
      <c r="AD185" s="53">
        <v>106</v>
      </c>
      <c r="AE185" s="53"/>
      <c r="AF185" s="53" t="s">
        <v>612</v>
      </c>
      <c r="AG185" s="53" t="s">
        <v>613</v>
      </c>
      <c r="AH185" s="53"/>
      <c r="AI185" s="53">
        <f>0+313</f>
        <v>313</v>
      </c>
    </row>
    <row r="186" spans="1:35" ht="90" customHeight="1" x14ac:dyDescent="0.2">
      <c r="A186" s="46">
        <v>118</v>
      </c>
      <c r="B186" s="47" t="s">
        <v>614</v>
      </c>
      <c r="C186" s="48" t="str">
        <f t="shared" ca="1" si="6"/>
        <v xml:space="preserve">Разработка грунта вручную в траншеях глубиной до 2 м без креплений с откосами, группа грунтов: 2
100 м3 грунта
833 руб. НР 61%=80%*(0,85*0,9) от ФОТ (1365 руб.)
423 руб.СП 31%=45%*(0,8*0,85) от ФОТ (1365 руб.)
</v>
      </c>
      <c r="D186" s="46">
        <v>0.06</v>
      </c>
      <c r="E186" s="49" t="s">
        <v>615</v>
      </c>
      <c r="F186" s="49"/>
      <c r="G186" s="49"/>
      <c r="H186" s="50" t="s">
        <v>616</v>
      </c>
      <c r="I186" s="51">
        <v>1365</v>
      </c>
      <c r="J186" s="49">
        <v>1365</v>
      </c>
      <c r="K186" s="49"/>
      <c r="L186" s="49" t="str">
        <f>IF(0.06*0=0," ",TEXT(,ROUND((0.06*0*1),2)))</f>
        <v xml:space="preserve"> </v>
      </c>
      <c r="M186" s="49">
        <v>154</v>
      </c>
      <c r="N186" s="49">
        <v>9.24</v>
      </c>
      <c r="O186" s="52"/>
      <c r="P186" s="52"/>
      <c r="Q186" s="52"/>
      <c r="R186" s="52"/>
      <c r="S186" s="52"/>
      <c r="T186" s="53"/>
      <c r="U186" s="53"/>
      <c r="V186" s="53"/>
      <c r="W186" s="53"/>
      <c r="X186" s="53"/>
      <c r="Y186" s="53"/>
      <c r="Z186" s="53"/>
      <c r="AA186" s="53" t="s">
        <v>617</v>
      </c>
      <c r="AB186" s="53" t="s">
        <v>618</v>
      </c>
      <c r="AC186" s="53">
        <v>833</v>
      </c>
      <c r="AD186" s="53">
        <v>423</v>
      </c>
      <c r="AE186" s="53"/>
      <c r="AF186" s="53" t="s">
        <v>619</v>
      </c>
      <c r="AG186" s="53" t="s">
        <v>620</v>
      </c>
      <c r="AH186" s="53"/>
      <c r="AI186" s="53">
        <f>1365+0</f>
        <v>1365</v>
      </c>
    </row>
    <row r="187" spans="1:35" ht="102.75" customHeight="1" x14ac:dyDescent="0.2">
      <c r="A187" s="46">
        <v>119</v>
      </c>
      <c r="B187" s="47" t="s">
        <v>621</v>
      </c>
      <c r="C187" s="48" t="str">
        <f t="shared" ca="1" si="6"/>
        <v xml:space="preserve">Засыпка вручную траншей, пазух котлованов и ям, группа грунтов: 2
100 м3 грунта
2528 руб. НР 61%=80%*(0,85*0,9) от ФОТ (4145 руб.)
1285 руб.СП 31%=45%*(0,8*0,85) от ФОТ (4145 руб.)
</v>
      </c>
      <c r="D187" s="46">
        <v>0.3</v>
      </c>
      <c r="E187" s="49" t="s">
        <v>622</v>
      </c>
      <c r="F187" s="49"/>
      <c r="G187" s="49"/>
      <c r="H187" s="50" t="s">
        <v>623</v>
      </c>
      <c r="I187" s="51">
        <v>4145</v>
      </c>
      <c r="J187" s="49">
        <v>4145</v>
      </c>
      <c r="K187" s="49"/>
      <c r="L187" s="49" t="str">
        <f>IF(0.3*0=0," ",TEXT(,ROUND((0.3*0*1),2)))</f>
        <v xml:space="preserve"> </v>
      </c>
      <c r="M187" s="49">
        <v>97.2</v>
      </c>
      <c r="N187" s="49">
        <v>29.16</v>
      </c>
      <c r="O187" s="52"/>
      <c r="P187" s="52"/>
      <c r="Q187" s="52"/>
      <c r="R187" s="52"/>
      <c r="S187" s="52"/>
      <c r="T187" s="53"/>
      <c r="U187" s="53"/>
      <c r="V187" s="53"/>
      <c r="W187" s="53"/>
      <c r="X187" s="53"/>
      <c r="Y187" s="53"/>
      <c r="Z187" s="53"/>
      <c r="AA187" s="53" t="s">
        <v>617</v>
      </c>
      <c r="AB187" s="53" t="s">
        <v>618</v>
      </c>
      <c r="AC187" s="53">
        <v>2528</v>
      </c>
      <c r="AD187" s="53">
        <v>1285</v>
      </c>
      <c r="AE187" s="53"/>
      <c r="AF187" s="53" t="s">
        <v>624</v>
      </c>
      <c r="AG187" s="53" t="s">
        <v>620</v>
      </c>
      <c r="AH187" s="53"/>
      <c r="AI187" s="53">
        <f>4145+0</f>
        <v>4145</v>
      </c>
    </row>
    <row r="188" spans="1:35" ht="99.75" customHeight="1" x14ac:dyDescent="0.2">
      <c r="A188" s="46">
        <v>120</v>
      </c>
      <c r="B188" s="47" t="s">
        <v>625</v>
      </c>
      <c r="C188" s="48" t="str">
        <f t="shared" ca="1" si="6"/>
        <v xml:space="preserve">Устройство подстилающих и выравнивающих слоев оснований: из песчано-гравийной смеси, дресвы
100 м3 материала основания (в плотном теле)
1309 руб. НР 109%=142%*(0,85*0,9) от ФОТ (1201 руб.)
781 руб.СП 65%=95%*(0,8*0,85) от ФОТ (1201 руб.)
</v>
      </c>
      <c r="D188" s="46" t="s">
        <v>626</v>
      </c>
      <c r="E188" s="49" t="s">
        <v>627</v>
      </c>
      <c r="F188" s="49" t="s">
        <v>628</v>
      </c>
      <c r="G188" s="49">
        <v>17.079999999999998</v>
      </c>
      <c r="H188" s="50" t="s">
        <v>629</v>
      </c>
      <c r="I188" s="51">
        <v>5552</v>
      </c>
      <c r="J188" s="49">
        <v>461</v>
      </c>
      <c r="K188" s="49" t="s">
        <v>630</v>
      </c>
      <c r="L188" s="49" t="str">
        <f>IF(0.192*17.08=0," ",TEXT(,ROUND((0.192*17.08*11.48),2)))</f>
        <v>37.65</v>
      </c>
      <c r="M188" s="49" t="s">
        <v>631</v>
      </c>
      <c r="N188" s="49" t="s">
        <v>632</v>
      </c>
      <c r="O188" s="52"/>
      <c r="P188" s="52"/>
      <c r="Q188" s="52"/>
      <c r="R188" s="52"/>
      <c r="S188" s="52"/>
      <c r="T188" s="53"/>
      <c r="U188" s="53"/>
      <c r="V188" s="53"/>
      <c r="W188" s="53"/>
      <c r="X188" s="53"/>
      <c r="Y188" s="53"/>
      <c r="Z188" s="53"/>
      <c r="AA188" s="53" t="s">
        <v>633</v>
      </c>
      <c r="AB188" s="53" t="s">
        <v>634</v>
      </c>
      <c r="AC188" s="53">
        <v>1309</v>
      </c>
      <c r="AD188" s="53">
        <v>781</v>
      </c>
      <c r="AE188" s="53"/>
      <c r="AF188" s="53" t="s">
        <v>635</v>
      </c>
      <c r="AG188" s="53" t="s">
        <v>636</v>
      </c>
      <c r="AH188" s="53"/>
      <c r="AI188" s="53">
        <f>461+740</f>
        <v>1201</v>
      </c>
    </row>
    <row r="189" spans="1:35" ht="38.25" customHeight="1" x14ac:dyDescent="0.2">
      <c r="A189" s="46">
        <v>121</v>
      </c>
      <c r="B189" s="47" t="s">
        <v>637</v>
      </c>
      <c r="C189" s="48" t="str">
        <f t="shared" ca="1" si="6"/>
        <v xml:space="preserve">Смесь песчано-гравийная природная
м3
</v>
      </c>
      <c r="D189" s="46" t="s">
        <v>638</v>
      </c>
      <c r="E189" s="49">
        <v>60</v>
      </c>
      <c r="F189" s="49"/>
      <c r="G189" s="49">
        <v>60</v>
      </c>
      <c r="H189" s="50" t="s">
        <v>639</v>
      </c>
      <c r="I189" s="51">
        <v>15119</v>
      </c>
      <c r="J189" s="49"/>
      <c r="K189" s="49"/>
      <c r="L189" s="49" t="str">
        <f>IF(23.424*60=0," ",TEXT(,ROUND((23.424*60*10.761),2)))</f>
        <v>15123.94</v>
      </c>
      <c r="M189" s="49"/>
      <c r="N189" s="49"/>
      <c r="O189" s="52"/>
      <c r="P189" s="52"/>
      <c r="Q189" s="52"/>
      <c r="R189" s="52"/>
      <c r="S189" s="52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 t="s">
        <v>640</v>
      </c>
      <c r="AG189" s="53" t="s">
        <v>196</v>
      </c>
      <c r="AH189" s="53"/>
      <c r="AI189" s="53">
        <f>0+0</f>
        <v>0</v>
      </c>
    </row>
    <row r="190" spans="1:35" ht="113.25" customHeight="1" x14ac:dyDescent="0.2">
      <c r="A190" s="46">
        <v>122</v>
      </c>
      <c r="B190" s="47" t="s">
        <v>641</v>
      </c>
      <c r="C190" s="48" t="str">
        <f t="shared" ca="1" si="6"/>
        <v xml:space="preserve">Устройство асфальтобетонных покрытий дорожек и тротуаров однослойных из литой мелкозернистой асфальтобетонной смеси толщиной 3 см
100 м2 покрытия
2797 руб. НР 109%=142%*(0,85*0,9) от ФОТ (2566 руб.)
1668 руб.СП 65%=95%*(0,8*0,85) от ФОТ (2566 руб.)
</v>
      </c>
      <c r="D190" s="46">
        <v>0.96</v>
      </c>
      <c r="E190" s="49" t="s">
        <v>642</v>
      </c>
      <c r="F190" s="49" t="s">
        <v>643</v>
      </c>
      <c r="G190" s="49">
        <v>3368.37</v>
      </c>
      <c r="H190" s="50" t="s">
        <v>644</v>
      </c>
      <c r="I190" s="51">
        <v>25515</v>
      </c>
      <c r="J190" s="49">
        <v>2550</v>
      </c>
      <c r="K190" s="49" t="s">
        <v>645</v>
      </c>
      <c r="L190" s="49" t="str">
        <f>IF(0.96*3368.37=0," ",TEXT(,ROUND((0.96*3368.37*7.01),2)))</f>
        <v>22667.78</v>
      </c>
      <c r="M190" s="49" t="s">
        <v>646</v>
      </c>
      <c r="N190" s="49" t="s">
        <v>647</v>
      </c>
      <c r="O190" s="52"/>
      <c r="P190" s="52"/>
      <c r="Q190" s="52"/>
      <c r="R190" s="52"/>
      <c r="S190" s="52"/>
      <c r="T190" s="53"/>
      <c r="U190" s="53"/>
      <c r="V190" s="53"/>
      <c r="W190" s="53"/>
      <c r="X190" s="53"/>
      <c r="Y190" s="53"/>
      <c r="Z190" s="53"/>
      <c r="AA190" s="53" t="s">
        <v>633</v>
      </c>
      <c r="AB190" s="53" t="s">
        <v>634</v>
      </c>
      <c r="AC190" s="53">
        <v>2797</v>
      </c>
      <c r="AD190" s="53">
        <v>1668</v>
      </c>
      <c r="AE190" s="53"/>
      <c r="AF190" s="53" t="s">
        <v>648</v>
      </c>
      <c r="AG190" s="53" t="s">
        <v>36</v>
      </c>
      <c r="AH190" s="53"/>
      <c r="AI190" s="53">
        <f>2550+16</f>
        <v>2566</v>
      </c>
    </row>
    <row r="191" spans="1:35" ht="136.5" customHeight="1" x14ac:dyDescent="0.2">
      <c r="A191" s="46">
        <v>123</v>
      </c>
      <c r="B191" s="47" t="s">
        <v>649</v>
      </c>
      <c r="C191" s="48" t="str">
        <f t="shared" ca="1" si="6"/>
        <v xml:space="preserve">На каждые 0,5 см изменения толщины покрытия добавлять к расценке 27-07-001-01
100 м2 покрытия
КОЭФ. К ПОЗИЦИИ:
Всего толщ. 10 см ПЗ=14 (ОЗП=14; ЭМ=14 к расх.; ЗПМ=14; МАТ=14 к расх.; ТЗ=14; ТЗМ=14)
5988 руб. НР 109%=142%*(0,85*0,9) от ФОТ (5494 руб.)
3571 руб.СП 65%=95%*(0,8*0,85) от ФОТ (5494 руб.)
</v>
      </c>
      <c r="D191" s="46">
        <v>0.96</v>
      </c>
      <c r="E191" s="49" t="s">
        <v>650</v>
      </c>
      <c r="F191" s="49">
        <v>117.6</v>
      </c>
      <c r="G191" s="49">
        <v>7714.28</v>
      </c>
      <c r="H191" s="50" t="s">
        <v>644</v>
      </c>
      <c r="I191" s="51">
        <v>58013</v>
      </c>
      <c r="J191" s="49">
        <v>5494</v>
      </c>
      <c r="K191" s="49">
        <v>603</v>
      </c>
      <c r="L191" s="49" t="str">
        <f>IF(0.96*7714.28=0," ",TEXT(,ROUND((0.96*7714.28*7.01),2)))</f>
        <v>51914.02</v>
      </c>
      <c r="M191" s="49">
        <v>32.479999999999997</v>
      </c>
      <c r="N191" s="49">
        <v>31.18</v>
      </c>
      <c r="O191" s="52"/>
      <c r="P191" s="52"/>
      <c r="Q191" s="52"/>
      <c r="R191" s="52"/>
      <c r="S191" s="52"/>
      <c r="T191" s="53"/>
      <c r="U191" s="53"/>
      <c r="V191" s="53"/>
      <c r="W191" s="53"/>
      <c r="X191" s="53"/>
      <c r="Y191" s="53"/>
      <c r="Z191" s="53"/>
      <c r="AA191" s="53" t="s">
        <v>633</v>
      </c>
      <c r="AB191" s="53" t="s">
        <v>634</v>
      </c>
      <c r="AC191" s="53">
        <v>5988</v>
      </c>
      <c r="AD191" s="53">
        <v>3571</v>
      </c>
      <c r="AE191" s="55" t="s">
        <v>651</v>
      </c>
      <c r="AF191" s="53" t="s">
        <v>652</v>
      </c>
      <c r="AG191" s="53" t="s">
        <v>36</v>
      </c>
      <c r="AH191" s="53"/>
      <c r="AI191" s="53">
        <f>5494+0</f>
        <v>5494</v>
      </c>
    </row>
    <row r="192" spans="1:35" ht="51.75" customHeight="1" x14ac:dyDescent="0.2">
      <c r="A192" s="46">
        <v>124</v>
      </c>
      <c r="B192" s="47" t="s">
        <v>653</v>
      </c>
      <c r="C192" s="48" t="str">
        <f t="shared" ca="1" si="6"/>
        <v xml:space="preserve">Асфальт литой: для покрытий тротуаров тип II (жесткий)
т
</v>
      </c>
      <c r="D192" s="46">
        <v>-23.114000000000001</v>
      </c>
      <c r="E192" s="49">
        <v>455.39</v>
      </c>
      <c r="F192" s="49"/>
      <c r="G192" s="49">
        <v>455.39</v>
      </c>
      <c r="H192" s="50" t="s">
        <v>654</v>
      </c>
      <c r="I192" s="51">
        <v>-71819</v>
      </c>
      <c r="J192" s="49"/>
      <c r="K192" s="49"/>
      <c r="L192" s="49" t="str">
        <f>IF(-23.114*455.39=0," ",TEXT(,ROUND((-23.114*455.39*6.823),2)))</f>
        <v>-71818.11</v>
      </c>
      <c r="M192" s="49"/>
      <c r="N192" s="49"/>
      <c r="O192" s="52"/>
      <c r="P192" s="52"/>
      <c r="Q192" s="52"/>
      <c r="R192" s="52"/>
      <c r="S192" s="52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 t="s">
        <v>655</v>
      </c>
      <c r="AG192" s="53" t="s">
        <v>188</v>
      </c>
      <c r="AH192" s="53"/>
      <c r="AI192" s="53">
        <f>0+0</f>
        <v>0</v>
      </c>
    </row>
    <row r="193" spans="1:35" ht="97.5" customHeight="1" x14ac:dyDescent="0.2">
      <c r="A193" s="56">
        <v>125</v>
      </c>
      <c r="B193" s="57" t="s">
        <v>656</v>
      </c>
      <c r="C193" s="58" t="str">
        <f t="shared" ca="1" si="6"/>
        <v xml:space="preserve">Смеси асфальтобетонные дорожные, аэродромные и асфальтобетон (горячие для плотного асфальтобетона мелко и крупнозернистые, песчаные), марка: II, тип А
т
</v>
      </c>
      <c r="D193" s="56">
        <v>23.114000000000001</v>
      </c>
      <c r="E193" s="59">
        <v>452</v>
      </c>
      <c r="F193" s="59"/>
      <c r="G193" s="59">
        <v>452</v>
      </c>
      <c r="H193" s="60" t="s">
        <v>657</v>
      </c>
      <c r="I193" s="61">
        <v>73282</v>
      </c>
      <c r="J193" s="59"/>
      <c r="K193" s="59"/>
      <c r="L193" s="59" t="str">
        <f>IF(23.114*452=0," ",TEXT(,ROUND((23.114*452*7.014),2)))</f>
        <v>73278.96</v>
      </c>
      <c r="M193" s="59"/>
      <c r="N193" s="59"/>
      <c r="O193" s="52"/>
      <c r="P193" s="52"/>
      <c r="Q193" s="52"/>
      <c r="R193" s="52"/>
      <c r="S193" s="52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 t="s">
        <v>658</v>
      </c>
      <c r="AG193" s="53" t="s">
        <v>188</v>
      </c>
      <c r="AH193" s="53"/>
      <c r="AI193" s="53">
        <f>0+0</f>
        <v>0</v>
      </c>
    </row>
    <row r="194" spans="1:35" ht="25.5" x14ac:dyDescent="0.2">
      <c r="A194" s="69" t="s">
        <v>112</v>
      </c>
      <c r="B194" s="64"/>
      <c r="C194" s="64"/>
      <c r="D194" s="64"/>
      <c r="E194" s="64"/>
      <c r="F194" s="64"/>
      <c r="G194" s="64"/>
      <c r="H194" s="64"/>
      <c r="I194" s="51">
        <v>14088</v>
      </c>
      <c r="J194" s="49">
        <v>973</v>
      </c>
      <c r="K194" s="49" t="s">
        <v>659</v>
      </c>
      <c r="L194" s="49">
        <v>11970</v>
      </c>
      <c r="M194" s="49"/>
      <c r="N194" s="49" t="s">
        <v>660</v>
      </c>
      <c r="O194" s="18"/>
      <c r="P194" s="19"/>
      <c r="Q194" s="18"/>
      <c r="R194" s="18"/>
      <c r="S194" s="18"/>
    </row>
    <row r="195" spans="1:35" ht="25.5" x14ac:dyDescent="0.2">
      <c r="A195" s="69" t="s">
        <v>251</v>
      </c>
      <c r="B195" s="64"/>
      <c r="C195" s="64"/>
      <c r="D195" s="64"/>
      <c r="E195" s="64"/>
      <c r="F195" s="64"/>
      <c r="G195" s="64"/>
      <c r="H195" s="64"/>
      <c r="I195" s="51">
        <v>14372</v>
      </c>
      <c r="J195" s="49">
        <v>1085</v>
      </c>
      <c r="K195" s="49" t="s">
        <v>661</v>
      </c>
      <c r="L195" s="49">
        <v>11970</v>
      </c>
      <c r="M195" s="49"/>
      <c r="N195" s="49" t="s">
        <v>662</v>
      </c>
      <c r="O195" s="18"/>
      <c r="P195" s="19"/>
      <c r="Q195" s="18"/>
      <c r="R195" s="18"/>
      <c r="S195" s="18"/>
    </row>
    <row r="196" spans="1:35" x14ac:dyDescent="0.2">
      <c r="A196" s="69" t="s">
        <v>254</v>
      </c>
      <c r="B196" s="64"/>
      <c r="C196" s="64"/>
      <c r="D196" s="64"/>
      <c r="E196" s="64"/>
      <c r="F196" s="64"/>
      <c r="G196" s="64"/>
      <c r="H196" s="64"/>
      <c r="I196" s="51"/>
      <c r="J196" s="49"/>
      <c r="K196" s="49"/>
      <c r="L196" s="49"/>
      <c r="M196" s="49"/>
      <c r="N196" s="49"/>
      <c r="O196" s="18"/>
      <c r="P196" s="19"/>
      <c r="Q196" s="18"/>
      <c r="R196" s="18"/>
      <c r="S196" s="18"/>
    </row>
    <row r="197" spans="1:35" ht="27.95" customHeight="1" x14ac:dyDescent="0.2">
      <c r="A197" s="69" t="s">
        <v>663</v>
      </c>
      <c r="B197" s="64"/>
      <c r="C197" s="64"/>
      <c r="D197" s="64"/>
      <c r="E197" s="64"/>
      <c r="F197" s="64"/>
      <c r="G197" s="64"/>
      <c r="H197" s="64"/>
      <c r="I197" s="51">
        <v>284</v>
      </c>
      <c r="J197" s="49">
        <v>111</v>
      </c>
      <c r="K197" s="49" t="s">
        <v>664</v>
      </c>
      <c r="L197" s="49"/>
      <c r="M197" s="49"/>
      <c r="N197" s="49" t="s">
        <v>665</v>
      </c>
      <c r="O197" s="18"/>
      <c r="P197" s="19"/>
      <c r="Q197" s="18"/>
      <c r="R197" s="18"/>
      <c r="S197" s="18"/>
    </row>
    <row r="198" spans="1:35" ht="25.5" x14ac:dyDescent="0.2">
      <c r="A198" s="69" t="s">
        <v>115</v>
      </c>
      <c r="B198" s="64"/>
      <c r="C198" s="64"/>
      <c r="D198" s="64"/>
      <c r="E198" s="64"/>
      <c r="F198" s="64"/>
      <c r="G198" s="64"/>
      <c r="H198" s="64"/>
      <c r="I198" s="51">
        <v>120355</v>
      </c>
      <c r="J198" s="49">
        <v>17848</v>
      </c>
      <c r="K198" s="49" t="s">
        <v>666</v>
      </c>
      <c r="L198" s="49">
        <v>91202</v>
      </c>
      <c r="M198" s="49"/>
      <c r="N198" s="49" t="s">
        <v>662</v>
      </c>
      <c r="O198" s="18"/>
      <c r="P198" s="19"/>
      <c r="Q198" s="18"/>
      <c r="R198" s="18"/>
      <c r="S198" s="18"/>
    </row>
    <row r="199" spans="1:35" x14ac:dyDescent="0.2">
      <c r="A199" s="69" t="s">
        <v>117</v>
      </c>
      <c r="B199" s="64"/>
      <c r="C199" s="64"/>
      <c r="D199" s="64"/>
      <c r="E199" s="64"/>
      <c r="F199" s="64"/>
      <c r="G199" s="64"/>
      <c r="H199" s="64"/>
      <c r="I199" s="51">
        <v>17765</v>
      </c>
      <c r="J199" s="49"/>
      <c r="K199" s="49"/>
      <c r="L199" s="49"/>
      <c r="M199" s="49"/>
      <c r="N199" s="49"/>
      <c r="O199" s="18"/>
      <c r="P199" s="19"/>
      <c r="Q199" s="18"/>
      <c r="R199" s="18"/>
      <c r="S199" s="18"/>
    </row>
    <row r="200" spans="1:35" x14ac:dyDescent="0.2">
      <c r="A200" s="69" t="s">
        <v>118</v>
      </c>
      <c r="B200" s="64"/>
      <c r="C200" s="64"/>
      <c r="D200" s="64"/>
      <c r="E200" s="64"/>
      <c r="F200" s="64"/>
      <c r="G200" s="64"/>
      <c r="H200" s="64"/>
      <c r="I200" s="51">
        <v>10061</v>
      </c>
      <c r="J200" s="49"/>
      <c r="K200" s="49"/>
      <c r="L200" s="49"/>
      <c r="M200" s="49"/>
      <c r="N200" s="49"/>
      <c r="O200" s="18"/>
      <c r="P200" s="19"/>
      <c r="Q200" s="18"/>
      <c r="R200" s="18"/>
      <c r="S200" s="18"/>
    </row>
    <row r="201" spans="1:35" ht="25.5" x14ac:dyDescent="0.2">
      <c r="A201" s="67" t="s">
        <v>667</v>
      </c>
      <c r="B201" s="68"/>
      <c r="C201" s="68"/>
      <c r="D201" s="68"/>
      <c r="E201" s="68"/>
      <c r="F201" s="68"/>
      <c r="G201" s="68"/>
      <c r="H201" s="68"/>
      <c r="I201" s="61">
        <v>148181</v>
      </c>
      <c r="J201" s="59"/>
      <c r="K201" s="59"/>
      <c r="L201" s="59"/>
      <c r="M201" s="59"/>
      <c r="N201" s="59" t="s">
        <v>662</v>
      </c>
      <c r="O201" s="18"/>
      <c r="P201" s="19"/>
      <c r="Q201" s="18"/>
      <c r="R201" s="18"/>
      <c r="S201" s="18"/>
    </row>
    <row r="202" spans="1:35" ht="21" customHeight="1" x14ac:dyDescent="0.2">
      <c r="A202" s="70" t="s">
        <v>668</v>
      </c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</row>
    <row r="203" spans="1:35" ht="66" customHeight="1" x14ac:dyDescent="0.2">
      <c r="A203" s="46">
        <v>126</v>
      </c>
      <c r="B203" s="47" t="s">
        <v>669</v>
      </c>
      <c r="C203" s="48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Погрузочные работы при автомобильных перевозках: мусора строительного с погрузкой вручную
1 т груза
</v>
      </c>
      <c r="D203" s="46">
        <v>8.1</v>
      </c>
      <c r="E203" s="49" t="s">
        <v>670</v>
      </c>
      <c r="F203" s="49"/>
      <c r="G203" s="49"/>
      <c r="H203" s="50" t="s">
        <v>671</v>
      </c>
      <c r="I203" s="51">
        <v>3703</v>
      </c>
      <c r="J203" s="49">
        <v>3703</v>
      </c>
      <c r="K203" s="49"/>
      <c r="L203" s="49" t="str">
        <f>IF(8.1*0=0," ",TEXT(,ROUND((8.1*0*1),2)))</f>
        <v xml:space="preserve"> </v>
      </c>
      <c r="M203" s="49"/>
      <c r="N203" s="49"/>
      <c r="O203" s="52"/>
      <c r="P203" s="52"/>
      <c r="Q203" s="52"/>
      <c r="R203" s="52"/>
      <c r="S203" s="52"/>
      <c r="T203" s="53"/>
      <c r="U203" s="53"/>
      <c r="V203" s="53"/>
      <c r="W203" s="53"/>
      <c r="X203" s="53"/>
      <c r="Y203" s="53"/>
      <c r="Z203" s="53"/>
      <c r="AA203" s="53" t="s">
        <v>672</v>
      </c>
      <c r="AB203" s="53" t="s">
        <v>673</v>
      </c>
      <c r="AC203" s="53"/>
      <c r="AD203" s="53"/>
      <c r="AE203" s="53"/>
      <c r="AF203" s="53" t="s">
        <v>674</v>
      </c>
      <c r="AG203" s="53" t="s">
        <v>675</v>
      </c>
      <c r="AH203" s="53"/>
      <c r="AI203" s="53">
        <f>3703+0</f>
        <v>3703</v>
      </c>
    </row>
    <row r="204" spans="1:35" ht="69" customHeight="1" x14ac:dyDescent="0.2">
      <c r="A204" s="46">
        <v>127</v>
      </c>
      <c r="B204" s="47" t="s">
        <v>676</v>
      </c>
      <c r="C204" s="48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Погрузочные работы при автомобильных перевозках: прочих материалов, деталей (с использованием погрузчика)
1 т груза
</v>
      </c>
      <c r="D204" s="46">
        <v>72.900000000000006</v>
      </c>
      <c r="E204" s="49">
        <v>17.95</v>
      </c>
      <c r="F204" s="49">
        <v>17.95</v>
      </c>
      <c r="G204" s="49"/>
      <c r="H204" s="50" t="s">
        <v>677</v>
      </c>
      <c r="I204" s="51">
        <v>14582</v>
      </c>
      <c r="J204" s="49"/>
      <c r="K204" s="49">
        <v>14582</v>
      </c>
      <c r="L204" s="49" t="str">
        <f>IF(72.9*0=0," ",TEXT(,ROUND((72.9*0*1),2)))</f>
        <v xml:space="preserve"> </v>
      </c>
      <c r="M204" s="49"/>
      <c r="N204" s="49"/>
      <c r="O204" s="52"/>
      <c r="P204" s="52"/>
      <c r="Q204" s="52"/>
      <c r="R204" s="52"/>
      <c r="S204" s="52"/>
      <c r="T204" s="53"/>
      <c r="U204" s="53"/>
      <c r="V204" s="53"/>
      <c r="W204" s="53"/>
      <c r="X204" s="53"/>
      <c r="Y204" s="53"/>
      <c r="Z204" s="53"/>
      <c r="AA204" s="53" t="s">
        <v>672</v>
      </c>
      <c r="AB204" s="53" t="s">
        <v>673</v>
      </c>
      <c r="AC204" s="53"/>
      <c r="AD204" s="53"/>
      <c r="AE204" s="53"/>
      <c r="AF204" s="53" t="s">
        <v>678</v>
      </c>
      <c r="AG204" s="53" t="s">
        <v>675</v>
      </c>
      <c r="AH204" s="53"/>
      <c r="AI204" s="53">
        <f>0+0</f>
        <v>0</v>
      </c>
    </row>
    <row r="205" spans="1:35" ht="85.5" customHeight="1" x14ac:dyDescent="0.2">
      <c r="A205" s="56">
        <v>128</v>
      </c>
      <c r="B205" s="57" t="s">
        <v>679</v>
      </c>
      <c r="C205" s="58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Перевозка грузов автомобилями-самосвалами грузоподъемностью 10 т, работающих вне карьера, на расстояние: до 15 км I класс груза
1 т груза
</v>
      </c>
      <c r="D205" s="56">
        <v>81</v>
      </c>
      <c r="E205" s="59">
        <v>13.38</v>
      </c>
      <c r="F205" s="59">
        <v>13.38</v>
      </c>
      <c r="G205" s="59"/>
      <c r="H205" s="60" t="s">
        <v>680</v>
      </c>
      <c r="I205" s="61">
        <v>10374</v>
      </c>
      <c r="J205" s="59"/>
      <c r="K205" s="59">
        <v>10374</v>
      </c>
      <c r="L205" s="59" t="str">
        <f>IF(81*0=0," ",TEXT(,ROUND((81*0*1),2)))</f>
        <v xml:space="preserve"> </v>
      </c>
      <c r="M205" s="59"/>
      <c r="N205" s="59"/>
      <c r="O205" s="52"/>
      <c r="P205" s="52"/>
      <c r="Q205" s="52"/>
      <c r="R205" s="52"/>
      <c r="S205" s="52"/>
      <c r="T205" s="53"/>
      <c r="U205" s="53"/>
      <c r="V205" s="53"/>
      <c r="W205" s="53"/>
      <c r="X205" s="53"/>
      <c r="Y205" s="53"/>
      <c r="Z205" s="53"/>
      <c r="AA205" s="53" t="s">
        <v>182</v>
      </c>
      <c r="AB205" s="53" t="s">
        <v>183</v>
      </c>
      <c r="AC205" s="53"/>
      <c r="AD205" s="53"/>
      <c r="AE205" s="53"/>
      <c r="AF205" s="53" t="s">
        <v>681</v>
      </c>
      <c r="AG205" s="53" t="s">
        <v>675</v>
      </c>
      <c r="AH205" s="53"/>
      <c r="AI205" s="53">
        <f>0+0</f>
        <v>0</v>
      </c>
    </row>
    <row r="206" spans="1:35" x14ac:dyDescent="0.2">
      <c r="A206" s="69" t="s">
        <v>112</v>
      </c>
      <c r="B206" s="64"/>
      <c r="C206" s="64"/>
      <c r="D206" s="64"/>
      <c r="E206" s="64"/>
      <c r="F206" s="64"/>
      <c r="G206" s="64"/>
      <c r="H206" s="64"/>
      <c r="I206" s="51">
        <v>2741</v>
      </c>
      <c r="J206" s="49">
        <v>348</v>
      </c>
      <c r="K206" s="49">
        <v>2393</v>
      </c>
      <c r="L206" s="49"/>
      <c r="M206" s="49"/>
      <c r="N206" s="49"/>
      <c r="O206" s="18"/>
      <c r="P206" s="19"/>
      <c r="Q206" s="18"/>
      <c r="R206" s="18"/>
      <c r="S206" s="18"/>
    </row>
    <row r="207" spans="1:35" x14ac:dyDescent="0.2">
      <c r="A207" s="69" t="s">
        <v>115</v>
      </c>
      <c r="B207" s="64"/>
      <c r="C207" s="64"/>
      <c r="D207" s="64"/>
      <c r="E207" s="64"/>
      <c r="F207" s="64"/>
      <c r="G207" s="64"/>
      <c r="H207" s="64"/>
      <c r="I207" s="51">
        <v>28659</v>
      </c>
      <c r="J207" s="49">
        <v>3703</v>
      </c>
      <c r="K207" s="49">
        <v>24956</v>
      </c>
      <c r="L207" s="49"/>
      <c r="M207" s="49"/>
      <c r="N207" s="49"/>
      <c r="O207" s="18"/>
      <c r="P207" s="19"/>
      <c r="Q207" s="18"/>
      <c r="R207" s="18"/>
      <c r="S207" s="18"/>
    </row>
    <row r="208" spans="1:35" x14ac:dyDescent="0.2">
      <c r="A208" s="67" t="s">
        <v>682</v>
      </c>
      <c r="B208" s="68"/>
      <c r="C208" s="68"/>
      <c r="D208" s="68"/>
      <c r="E208" s="68"/>
      <c r="F208" s="68"/>
      <c r="G208" s="68"/>
      <c r="H208" s="68"/>
      <c r="I208" s="61">
        <v>28659</v>
      </c>
      <c r="J208" s="59"/>
      <c r="K208" s="59"/>
      <c r="L208" s="59"/>
      <c r="M208" s="59"/>
      <c r="N208" s="59"/>
      <c r="O208" s="18"/>
      <c r="P208" s="19"/>
      <c r="Q208" s="18"/>
      <c r="R208" s="18"/>
      <c r="S208" s="18"/>
    </row>
    <row r="209" spans="1:19" ht="25.5" x14ac:dyDescent="0.2">
      <c r="A209" s="63" t="s">
        <v>683</v>
      </c>
      <c r="B209" s="64"/>
      <c r="C209" s="64"/>
      <c r="D209" s="64"/>
      <c r="E209" s="64"/>
      <c r="F209" s="64"/>
      <c r="G209" s="64"/>
      <c r="H209" s="64"/>
      <c r="I209" s="62">
        <v>333246</v>
      </c>
      <c r="J209" s="62">
        <v>29097</v>
      </c>
      <c r="K209" s="62" t="s">
        <v>684</v>
      </c>
      <c r="L209" s="62">
        <v>292605</v>
      </c>
      <c r="M209" s="62"/>
      <c r="N209" s="62" t="s">
        <v>685</v>
      </c>
      <c r="O209" s="18"/>
      <c r="P209" s="19"/>
      <c r="Q209" s="18"/>
      <c r="R209" s="18"/>
      <c r="S209" s="18"/>
    </row>
    <row r="210" spans="1:19" ht="25.5" x14ac:dyDescent="0.2">
      <c r="A210" s="63" t="s">
        <v>686</v>
      </c>
      <c r="B210" s="64"/>
      <c r="C210" s="64"/>
      <c r="D210" s="64"/>
      <c r="E210" s="64"/>
      <c r="F210" s="64"/>
      <c r="G210" s="64"/>
      <c r="H210" s="64"/>
      <c r="I210" s="62">
        <v>338096</v>
      </c>
      <c r="J210" s="62">
        <v>32211</v>
      </c>
      <c r="K210" s="62" t="s">
        <v>687</v>
      </c>
      <c r="L210" s="62">
        <v>292605</v>
      </c>
      <c r="M210" s="62"/>
      <c r="N210" s="62" t="s">
        <v>688</v>
      </c>
      <c r="O210" s="18"/>
      <c r="P210" s="19"/>
      <c r="Q210" s="18"/>
      <c r="R210" s="18"/>
      <c r="S210" s="18"/>
    </row>
    <row r="211" spans="1:19" ht="25.5" x14ac:dyDescent="0.2">
      <c r="A211" s="63" t="s">
        <v>689</v>
      </c>
      <c r="B211" s="64"/>
      <c r="C211" s="64"/>
      <c r="D211" s="64"/>
      <c r="E211" s="64"/>
      <c r="F211" s="64"/>
      <c r="G211" s="64"/>
      <c r="H211" s="64"/>
      <c r="I211" s="62">
        <v>2200025</v>
      </c>
      <c r="J211" s="62">
        <v>527850</v>
      </c>
      <c r="K211" s="62" t="s">
        <v>690</v>
      </c>
      <c r="L211" s="62">
        <v>1538431</v>
      </c>
      <c r="M211" s="62"/>
      <c r="N211" s="62" t="s">
        <v>688</v>
      </c>
      <c r="O211" s="18"/>
      <c r="P211" s="19"/>
      <c r="Q211" s="18"/>
      <c r="R211" s="18"/>
      <c r="S211" s="18"/>
    </row>
    <row r="212" spans="1:19" x14ac:dyDescent="0.2">
      <c r="A212" s="63" t="s">
        <v>117</v>
      </c>
      <c r="B212" s="64"/>
      <c r="C212" s="64"/>
      <c r="D212" s="64"/>
      <c r="E212" s="64"/>
      <c r="F212" s="64"/>
      <c r="G212" s="64"/>
      <c r="H212" s="64"/>
      <c r="I212" s="62">
        <v>468652</v>
      </c>
      <c r="J212" s="62"/>
      <c r="K212" s="62"/>
      <c r="L212" s="62"/>
      <c r="M212" s="62"/>
      <c r="N212" s="62"/>
      <c r="O212" s="18"/>
      <c r="P212" s="19"/>
      <c r="Q212" s="18"/>
      <c r="R212" s="18"/>
      <c r="S212" s="18"/>
    </row>
    <row r="213" spans="1:19" x14ac:dyDescent="0.2">
      <c r="A213" s="63" t="s">
        <v>118</v>
      </c>
      <c r="B213" s="64"/>
      <c r="C213" s="64"/>
      <c r="D213" s="64"/>
      <c r="E213" s="64"/>
      <c r="F213" s="64"/>
      <c r="G213" s="64"/>
      <c r="H213" s="64"/>
      <c r="I213" s="62">
        <v>254089</v>
      </c>
      <c r="J213" s="62"/>
      <c r="K213" s="62"/>
      <c r="L213" s="62"/>
      <c r="M213" s="62"/>
      <c r="N213" s="62"/>
      <c r="O213" s="18"/>
      <c r="P213" s="19"/>
      <c r="Q213" s="18"/>
      <c r="R213" s="18"/>
      <c r="S213" s="18"/>
    </row>
    <row r="214" spans="1:19" x14ac:dyDescent="0.2">
      <c r="A214" s="65" t="s">
        <v>691</v>
      </c>
      <c r="B214" s="66"/>
      <c r="C214" s="66"/>
      <c r="D214" s="66"/>
      <c r="E214" s="66"/>
      <c r="F214" s="66"/>
      <c r="G214" s="66"/>
      <c r="H214" s="66"/>
      <c r="I214" s="62"/>
      <c r="J214" s="62"/>
      <c r="K214" s="62"/>
      <c r="L214" s="62"/>
      <c r="M214" s="62"/>
      <c r="N214" s="62"/>
      <c r="O214" s="18"/>
      <c r="P214" s="19"/>
      <c r="Q214" s="18"/>
      <c r="R214" s="18"/>
      <c r="S214" s="18"/>
    </row>
    <row r="215" spans="1:19" ht="25.5" x14ac:dyDescent="0.2">
      <c r="A215" s="63" t="s">
        <v>692</v>
      </c>
      <c r="B215" s="64"/>
      <c r="C215" s="64"/>
      <c r="D215" s="64"/>
      <c r="E215" s="64"/>
      <c r="F215" s="64"/>
      <c r="G215" s="64"/>
      <c r="H215" s="64"/>
      <c r="I215" s="62">
        <v>2887536</v>
      </c>
      <c r="J215" s="62"/>
      <c r="K215" s="62"/>
      <c r="L215" s="62"/>
      <c r="M215" s="62"/>
      <c r="N215" s="62" t="s">
        <v>693</v>
      </c>
      <c r="O215" s="18"/>
      <c r="P215" s="19"/>
      <c r="Q215" s="18"/>
      <c r="R215" s="18"/>
      <c r="S215" s="18"/>
    </row>
    <row r="216" spans="1:19" ht="25.5" x14ac:dyDescent="0.2">
      <c r="A216" s="63" t="s">
        <v>694</v>
      </c>
      <c r="B216" s="64"/>
      <c r="C216" s="64"/>
      <c r="D216" s="64"/>
      <c r="E216" s="64"/>
      <c r="F216" s="64"/>
      <c r="G216" s="64"/>
      <c r="H216" s="64"/>
      <c r="I216" s="62">
        <v>35230</v>
      </c>
      <c r="J216" s="62"/>
      <c r="K216" s="62"/>
      <c r="L216" s="62"/>
      <c r="M216" s="62"/>
      <c r="N216" s="62" t="s">
        <v>589</v>
      </c>
      <c r="O216" s="18"/>
      <c r="P216" s="19"/>
      <c r="Q216" s="18"/>
      <c r="R216" s="18"/>
      <c r="S216" s="18"/>
    </row>
    <row r="217" spans="1:19" ht="25.5" x14ac:dyDescent="0.2">
      <c r="A217" s="63" t="s">
        <v>695</v>
      </c>
      <c r="B217" s="64"/>
      <c r="C217" s="64"/>
      <c r="D217" s="64"/>
      <c r="E217" s="64"/>
      <c r="F217" s="64"/>
      <c r="G217" s="64"/>
      <c r="H217" s="64"/>
      <c r="I217" s="62">
        <v>2922766</v>
      </c>
      <c r="J217" s="62"/>
      <c r="K217" s="62"/>
      <c r="L217" s="62"/>
      <c r="M217" s="62"/>
      <c r="N217" s="62" t="s">
        <v>688</v>
      </c>
      <c r="O217" s="18"/>
      <c r="P217" s="19"/>
      <c r="Q217" s="18"/>
      <c r="R217" s="18"/>
      <c r="S217" s="18"/>
    </row>
    <row r="218" spans="1:19" x14ac:dyDescent="0.2">
      <c r="A218" s="63" t="s">
        <v>696</v>
      </c>
      <c r="B218" s="64"/>
      <c r="C218" s="64"/>
      <c r="D218" s="64"/>
      <c r="E218" s="64"/>
      <c r="F218" s="64"/>
      <c r="G218" s="64"/>
      <c r="H218" s="64"/>
      <c r="I218" s="62"/>
      <c r="J218" s="62"/>
      <c r="K218" s="62"/>
      <c r="L218" s="62"/>
      <c r="M218" s="62"/>
      <c r="N218" s="62"/>
      <c r="O218" s="18"/>
      <c r="P218" s="19"/>
      <c r="Q218" s="18"/>
      <c r="R218" s="18"/>
      <c r="S218" s="18"/>
    </row>
    <row r="219" spans="1:19" x14ac:dyDescent="0.2">
      <c r="A219" s="63" t="s">
        <v>697</v>
      </c>
      <c r="B219" s="64"/>
      <c r="C219" s="64"/>
      <c r="D219" s="64"/>
      <c r="E219" s="64"/>
      <c r="F219" s="64"/>
      <c r="G219" s="64"/>
      <c r="H219" s="64"/>
      <c r="I219" s="62">
        <v>1538431</v>
      </c>
      <c r="J219" s="62"/>
      <c r="K219" s="62"/>
      <c r="L219" s="62"/>
      <c r="M219" s="62"/>
      <c r="N219" s="62"/>
      <c r="O219" s="18"/>
      <c r="P219" s="19"/>
      <c r="Q219" s="18"/>
      <c r="R219" s="18"/>
      <c r="S219" s="18"/>
    </row>
    <row r="220" spans="1:19" x14ac:dyDescent="0.2">
      <c r="A220" s="63" t="s">
        <v>698</v>
      </c>
      <c r="B220" s="64"/>
      <c r="C220" s="64"/>
      <c r="D220" s="64"/>
      <c r="E220" s="64"/>
      <c r="F220" s="64"/>
      <c r="G220" s="64"/>
      <c r="H220" s="64"/>
      <c r="I220" s="62">
        <v>133742</v>
      </c>
      <c r="J220" s="62"/>
      <c r="K220" s="62"/>
      <c r="L220" s="62"/>
      <c r="M220" s="62"/>
      <c r="N220" s="62"/>
      <c r="O220" s="18"/>
      <c r="P220" s="19"/>
      <c r="Q220" s="18"/>
      <c r="R220" s="18"/>
      <c r="S220" s="18"/>
    </row>
    <row r="221" spans="1:19" x14ac:dyDescent="0.2">
      <c r="A221" s="63" t="s">
        <v>699</v>
      </c>
      <c r="B221" s="64"/>
      <c r="C221" s="64"/>
      <c r="D221" s="64"/>
      <c r="E221" s="64"/>
      <c r="F221" s="64"/>
      <c r="G221" s="64"/>
      <c r="H221" s="64"/>
      <c r="I221" s="62">
        <v>541273</v>
      </c>
      <c r="J221" s="62"/>
      <c r="K221" s="62"/>
      <c r="L221" s="62"/>
      <c r="M221" s="62"/>
      <c r="N221" s="62"/>
      <c r="O221" s="18"/>
      <c r="P221" s="19"/>
      <c r="Q221" s="18"/>
      <c r="R221" s="18"/>
      <c r="S221" s="18"/>
    </row>
    <row r="222" spans="1:19" x14ac:dyDescent="0.2">
      <c r="A222" s="63" t="s">
        <v>700</v>
      </c>
      <c r="B222" s="64"/>
      <c r="C222" s="64"/>
      <c r="D222" s="64"/>
      <c r="E222" s="64"/>
      <c r="F222" s="64"/>
      <c r="G222" s="64"/>
      <c r="H222" s="64"/>
      <c r="I222" s="62">
        <v>468652</v>
      </c>
      <c r="J222" s="62"/>
      <c r="K222" s="62"/>
      <c r="L222" s="62"/>
      <c r="M222" s="62"/>
      <c r="N222" s="62"/>
      <c r="O222" s="18"/>
      <c r="P222" s="19"/>
      <c r="Q222" s="18"/>
      <c r="R222" s="18"/>
      <c r="S222" s="18"/>
    </row>
    <row r="223" spans="1:19" x14ac:dyDescent="0.2">
      <c r="A223" s="63" t="s">
        <v>701</v>
      </c>
      <c r="B223" s="64"/>
      <c r="C223" s="64"/>
      <c r="D223" s="64"/>
      <c r="E223" s="64"/>
      <c r="F223" s="64"/>
      <c r="G223" s="64"/>
      <c r="H223" s="64"/>
      <c r="I223" s="62">
        <v>254089</v>
      </c>
      <c r="J223" s="62"/>
      <c r="K223" s="62"/>
      <c r="L223" s="62"/>
      <c r="M223" s="62"/>
      <c r="N223" s="62"/>
      <c r="O223" s="18"/>
      <c r="P223" s="19"/>
      <c r="Q223" s="18"/>
      <c r="R223" s="18"/>
      <c r="S223" s="18"/>
    </row>
    <row r="224" spans="1:19" ht="25.5" x14ac:dyDescent="0.2">
      <c r="A224" s="65" t="s">
        <v>702</v>
      </c>
      <c r="B224" s="66"/>
      <c r="C224" s="66"/>
      <c r="D224" s="66"/>
      <c r="E224" s="66"/>
      <c r="F224" s="66"/>
      <c r="G224" s="66"/>
      <c r="H224" s="66"/>
      <c r="I224" s="62">
        <v>2922766</v>
      </c>
      <c r="J224" s="62"/>
      <c r="K224" s="62"/>
      <c r="L224" s="62"/>
      <c r="M224" s="62"/>
      <c r="N224" s="62" t="s">
        <v>688</v>
      </c>
      <c r="O224" s="18"/>
      <c r="P224" s="19"/>
      <c r="Q224" s="18"/>
      <c r="R224" s="18"/>
      <c r="S224" s="18"/>
    </row>
    <row r="225" spans="1:19" x14ac:dyDescent="0.2">
      <c r="A225" s="17"/>
      <c r="B225" s="39"/>
      <c r="C225" s="39"/>
      <c r="D225" s="17"/>
      <c r="E225" s="36"/>
      <c r="F225" s="36"/>
      <c r="G225" s="36"/>
      <c r="H225" s="36"/>
      <c r="I225" s="40"/>
      <c r="J225" s="36"/>
      <c r="K225" s="36"/>
      <c r="L225" s="36"/>
      <c r="M225" s="36"/>
      <c r="O225" s="5"/>
      <c r="P225" s="5"/>
      <c r="Q225" s="5"/>
      <c r="R225" s="5"/>
      <c r="S225" s="5"/>
    </row>
    <row r="226" spans="1:19" x14ac:dyDescent="0.2">
      <c r="A226" s="17"/>
      <c r="B226" s="39"/>
      <c r="C226" s="39"/>
      <c r="D226" s="17"/>
      <c r="E226" s="36"/>
      <c r="F226" s="36"/>
      <c r="G226" s="36"/>
      <c r="H226" s="36"/>
      <c r="I226" s="40"/>
      <c r="J226" s="36"/>
      <c r="K226" s="36"/>
      <c r="L226" s="36"/>
      <c r="M226" s="36"/>
    </row>
    <row r="227" spans="1:19" x14ac:dyDescent="0.2">
      <c r="A227" s="17"/>
      <c r="B227" s="39"/>
      <c r="C227" s="41" t="s">
        <v>706</v>
      </c>
      <c r="D227" s="17"/>
      <c r="E227" s="36"/>
      <c r="F227" s="41" t="s">
        <v>28</v>
      </c>
      <c r="G227" s="41"/>
      <c r="H227" s="41"/>
      <c r="I227" s="36"/>
      <c r="J227" s="36"/>
      <c r="K227" s="36"/>
      <c r="L227" s="36"/>
      <c r="M227" s="36"/>
    </row>
  </sheetData>
  <mergeCells count="97">
    <mergeCell ref="A4:C4"/>
    <mergeCell ref="I4:N4"/>
    <mergeCell ref="J17:J18"/>
    <mergeCell ref="L17:L18"/>
    <mergeCell ref="N17:N18"/>
    <mergeCell ref="A15:A18"/>
    <mergeCell ref="D15:D18"/>
    <mergeCell ref="J11:N13"/>
    <mergeCell ref="C15:C18"/>
    <mergeCell ref="B15:B18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A73:H73"/>
    <mergeCell ref="A20:AI20"/>
    <mergeCell ref="A32:H32"/>
    <mergeCell ref="A33:H33"/>
    <mergeCell ref="A34:H34"/>
    <mergeCell ref="A35:H35"/>
    <mergeCell ref="A36:H36"/>
    <mergeCell ref="A37:AI37"/>
    <mergeCell ref="A69:H69"/>
    <mergeCell ref="A70:H70"/>
    <mergeCell ref="A71:H71"/>
    <mergeCell ref="A72:H72"/>
    <mergeCell ref="A127:H127"/>
    <mergeCell ref="A74:H74"/>
    <mergeCell ref="A75:H75"/>
    <mergeCell ref="A76:H76"/>
    <mergeCell ref="A77:AI77"/>
    <mergeCell ref="A120:H120"/>
    <mergeCell ref="A121:H121"/>
    <mergeCell ref="A122:H122"/>
    <mergeCell ref="A123:H123"/>
    <mergeCell ref="A124:H124"/>
    <mergeCell ref="A125:H125"/>
    <mergeCell ref="A126:H126"/>
    <mergeCell ref="A164:H164"/>
    <mergeCell ref="A128:AI128"/>
    <mergeCell ref="A144:H144"/>
    <mergeCell ref="A145:H145"/>
    <mergeCell ref="A146:H146"/>
    <mergeCell ref="A147:H147"/>
    <mergeCell ref="A148:H148"/>
    <mergeCell ref="A149:H149"/>
    <mergeCell ref="A150:H150"/>
    <mergeCell ref="A151:H151"/>
    <mergeCell ref="A152:AI152"/>
    <mergeCell ref="A163:H163"/>
    <mergeCell ref="A182:H182"/>
    <mergeCell ref="A165:H165"/>
    <mergeCell ref="A166:H166"/>
    <mergeCell ref="A167:H167"/>
    <mergeCell ref="A168:H168"/>
    <mergeCell ref="A169:H169"/>
    <mergeCell ref="A170:H170"/>
    <mergeCell ref="A171:AI171"/>
    <mergeCell ref="A178:H178"/>
    <mergeCell ref="A179:H179"/>
    <mergeCell ref="A180:H180"/>
    <mergeCell ref="A181:H181"/>
    <mergeCell ref="A207:H207"/>
    <mergeCell ref="A183:AI183"/>
    <mergeCell ref="A194:H194"/>
    <mergeCell ref="A195:H195"/>
    <mergeCell ref="A196:H196"/>
    <mergeCell ref="A197:H197"/>
    <mergeCell ref="A198:H198"/>
    <mergeCell ref="A199:H199"/>
    <mergeCell ref="A200:H200"/>
    <mergeCell ref="A201:H201"/>
    <mergeCell ref="A202:AI202"/>
    <mergeCell ref="A206:H206"/>
    <mergeCell ref="A219:H219"/>
    <mergeCell ref="A208:H208"/>
    <mergeCell ref="A209:H209"/>
    <mergeCell ref="A210:H210"/>
    <mergeCell ref="A211:H211"/>
    <mergeCell ref="A212:H212"/>
    <mergeCell ref="A213:H213"/>
    <mergeCell ref="A214:H214"/>
    <mergeCell ref="A215:H215"/>
    <mergeCell ref="A216:H216"/>
    <mergeCell ref="A217:H217"/>
    <mergeCell ref="A218:H218"/>
    <mergeCell ref="A220:H220"/>
    <mergeCell ref="A221:H221"/>
    <mergeCell ref="A222:H222"/>
    <mergeCell ref="A223:H223"/>
    <mergeCell ref="A224:H224"/>
  </mergeCells>
  <phoneticPr fontId="0" type="noConversion"/>
  <pageMargins left="0.23622047244094491" right="0.19685039370078741" top="0.35433070866141736" bottom="0.27559055118110237" header="0.27559055118110237" footer="0.19685039370078741"/>
  <pageSetup paperSize="9" scale="95" orientation="landscape" r:id="rId1"/>
  <headerFooter alignWithMargins="0"/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Лок.См.Расч.Баз.-Инд.Методом</vt:lpstr>
      <vt:lpstr>'Лок.См.Расч.Баз.-Инд.Методом'!Заголовки_для_печати</vt:lpstr>
      <vt:lpstr>'Лок.См.Расч.Баз.-Инд.Методом'!Область_печати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Чернова Оксана Геннадьевна</cp:lastModifiedBy>
  <cp:lastPrinted>2015-09-08T03:44:30Z</cp:lastPrinted>
  <dcterms:created xsi:type="dcterms:W3CDTF">2003-01-28T12:33:10Z</dcterms:created>
  <dcterms:modified xsi:type="dcterms:W3CDTF">2015-10-19T03:02:49Z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