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56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56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239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239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239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239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239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239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<sst xmlns="http://schemas.openxmlformats.org/spreadsheetml/2006/main" count="979" uniqueCount="799">
  <si>
    <t xml:space="preserve">Отмет  оцинкованный  с полимерным покрытием 228/1,18/1,18/5,58, шт
 </t>
  </si>
  <si>
    <t xml:space="preserve">Воронка оцинкованная с полимерным покрытием 200мм 428/1,18/5,58, шт
 </t>
  </si>
  <si>
    <t>ФССЦ-110-0213
--------------------
Приказ Минстроя России от 12.11.14 №703/пр</t>
  </si>
  <si>
    <t xml:space="preserve">Хомут для крепления траверс окрашенный, шт.
 </t>
  </si>
  <si>
    <t xml:space="preserve">Хомут для крепления траверс окрашенный; МАТ=4,818
 </t>
  </si>
  <si>
    <t>Итоги по разделу 5 Водоотвод :</t>
  </si>
  <si>
    <t xml:space="preserve">  Итого по разделу 5 Водоотвод</t>
  </si>
  <si>
    <t xml:space="preserve">                           Раздел 6. Антена</t>
  </si>
  <si>
    <t>ФЕРм10-05-001-04
--------------------
Приказ Минстроя РФ от 30.01.14 №31/пр</t>
  </si>
  <si>
    <t xml:space="preserve">Замена существующей антенны с демонтажем ранее установленной антенны и разъема кабеля снижения, подъем и установка мачты и новой антенны, прокладка и разделка кабеля снижения от антенны до головной усилительной станции, полный цикл измерений по каждому каналу качества изображения на антенну, для: 1-5 каналов, 1 антенна
НР 78%=92%*0.85 от ФОТ
СП 52%=65%*0.8 от ФОТ
 </t>
  </si>
  <si>
    <t>251,26
246,33</t>
  </si>
  <si>
    <t xml:space="preserve">57.204 Настройка крупных систем коллективного приёма телевидения (КСКПТ): ОЗП=16,45; МАТ=5,58
 </t>
  </si>
  <si>
    <t>Итоги по разделу 6 Антена :</t>
  </si>
  <si>
    <t xml:space="preserve">  Монтаж радиотелевизионного и электронного оборудования</t>
  </si>
  <si>
    <t xml:space="preserve">  Итого по разделу 6 Антена</t>
  </si>
  <si>
    <t xml:space="preserve">                           Раздел 7. Доставка</t>
  </si>
  <si>
    <t>ФССЦпг03-02-01-100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</si>
  <si>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 класс груза, 1 т груза
НР 0% от ФОТ
СП 0%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</si>
  <si>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 класс груза; ЭМ=11,42
 </t>
  </si>
  <si>
    <t>ФССЦпг03-02-02-100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</si>
  <si>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 класс груза, 1 т груза
НР 0% от ФОТ
СП 0%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</si>
  <si>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 класс груза; ЭМ=11,42
 </t>
  </si>
  <si>
    <t>ФССЦпг03-02-03-100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</si>
  <si>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III класс груза, 1 т груза
НР 0% от ФОТ
СП 0%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</si>
  <si>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III класс груза; ЭМ=11,42
 </t>
  </si>
  <si>
    <t>ФССЦпг03-02-04-100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</si>
  <si>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 IV класс груза, 1 т груза
НР 0% от ФОТ
СП 0%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</si>
  <si>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100 км.: IV класс груза; ЭМ=11,42
 </t>
  </si>
  <si>
    <t>Итоги по разделу 7 Доставка :</t>
  </si>
  <si>
    <t xml:space="preserve">  Итого по разделу 7 Доставка</t>
  </si>
  <si>
    <t>Итого прямые затраты по смете в ценах 2001г.</t>
  </si>
  <si>
    <t>5525
274</t>
  </si>
  <si>
    <t>1671,87
21,57</t>
  </si>
  <si>
    <t>Итого прямые затраты по смете с учетом индексов, в текущих ценах</t>
  </si>
  <si>
    <t>57785
4507</t>
  </si>
  <si>
    <t>Итоги по смете:</t>
  </si>
  <si>
    <t xml:space="preserve">  Итого Строительные работы</t>
  </si>
  <si>
    <t>1624,27
21,57</t>
  </si>
  <si>
    <t xml:space="preserve">  Итого Монтажные работы</t>
  </si>
  <si>
    <t xml:space="preserve">  ВСЕГО по смете</t>
  </si>
  <si>
    <t>Капитальный ремонт многоквартирного  дома по адресу: Томская область, Асиновский район, г.Асино, ул. Ленина, 23</t>
  </si>
  <si>
    <t>на   Капитальный ремонт крыши</t>
  </si>
  <si>
    <t>Составлен(а) в текущих ценах по состоянию на 2 кв. 2015 года</t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</si>
  <si>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</si>
  <si>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</si>
  <si>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</si>
  <si>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</si>
  <si>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</si>
  <si>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</si>
  <si>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</si>
  <si>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</si>
  <si>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</si>
  <si>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</si>
  <si>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</si>
  <si>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</si>
  <si>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</si>
  <si>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</si>
  <si>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</si>
  <si>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</si>
  <si>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</si>
  <si>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</si>
  <si>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</si>
  <si>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</si>
  <si>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</si>
  <si>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</si>
  <si>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</si>
  <si>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</si>
  <si>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</si>
  <si>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</si>
  <si>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</si>
  <si>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</si>
  <si>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</si>
  <si>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</si>
  <si>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</si>
  <si>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</si>
  <si>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</si>
  <si>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</si>
  <si>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</si>
  <si>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</si>
  <si>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</si>
  <si>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</si>
  <si>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</si>
  <si>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</si>
  <si>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</si>
  <si>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</si>
  <si>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</si>
  <si>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</si>
  <si>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</si>
  <si>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</si>
  <si>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</si>
  <si>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</si>
  <si>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</si>
  <si>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</si>
  <si>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</si>
  <si>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</si>
  <si>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</si>
  <si>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</si>
  <si>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</si>
  <si>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</si>
  <si>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</si>
  <si>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</si>
  <si>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</si>
  <si>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</si>
  <si>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</si>
  <si>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</si>
  <si>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</si>
  <si>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</si>
  <si>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</si>
  <si>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</si>
  <si>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</si>
  <si>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</si>
  <si>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</si>
  <si>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</si>
  <si>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</si>
  <si>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</si>
  <si>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</si>
  <si>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</si>
  <si>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</si>
  <si>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</si>
  <si>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</si>
  <si>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</si>
  <si>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</si>
  <si>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</si>
  <si>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</si>
  <si>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</si>
  <si>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</si>
  <si>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</si>
  <si>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</si>
  <si>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</si>
  <si>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</si>
  <si>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</si>
  <si>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</si>
  <si>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</si>
  <si>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</si>
  <si>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</si>
  <si>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</si>
  <si>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</si>
  <si>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</si>
  <si>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</si>
  <si>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</si>
  <si>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</si>
  <si>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</si>
  <si>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</si>
  <si>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</si>
  <si>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</si>
  <si>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</si>
  <si>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</si>
  <si>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</si>
  <si>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</si>
  <si>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</si>
  <si>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</si>
  <si>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</si>
  <si>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</si>
  <si>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</si>
  <si>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</si>
  <si>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</si>
  <si>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</si>
  <si>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</si>
  <si>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</si>
  <si>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</si>
  <si>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</si>
  <si>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</si>
  <si>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</si>
  <si>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</si>
  <si>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</si>
  <si>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</si>
  <si>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</si>
  <si>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</si>
  <si>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</si>
  <si>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</si>
  <si>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</si>
  <si>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</si>
  <si>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</si>
  <si>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</si>
  <si>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</si>
  <si>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</si>
  <si>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</si>
  <si>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</si>
  <si>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</si>
  <si>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</si>
  <si>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</si>
  <si>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</si>
  <si>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</si>
  <si>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</si>
  <si>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</si>
  <si>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</si>
  <si>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</si>
  <si>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</si>
  <si>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</si>
  <si>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</si>
  <si>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</si>
  <si>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</si>
  <si>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</si>
  <si>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</si>
  <si>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</si>
  <si>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</si>
  <si>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</si>
  <si>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</si>
  <si>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</si>
  <si>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</si>
  <si>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</si>
  <si>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</si>
  <si>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</si>
  <si>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</si>
  <si>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</si>
  <si>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</si>
  <si>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</si>
  <si>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</si>
  <si>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</si>
  <si>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</si>
  <si>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</si>
  <si>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</si>
  <si>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</si>
  <si>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</si>
  <si>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</si>
  <si>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</si>
  <si>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</si>
  <si>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</si>
  <si>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</si>
  <si>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</si>
  <si>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</si>
  <si>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</si>
  <si>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</si>
  <si>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</si>
  <si>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</si>
  <si>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</si>
  <si>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</si>
  <si>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</si>
  <si>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</si>
  <si>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</si>
  <si>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</si>
  <si>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</si>
  <si>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</si>
  <si>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</si>
  <si>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</si>
  <si>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</si>
  <si>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</si>
  <si>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</si>
  <si>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</si>
  <si>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</si>
  <si>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</si>
  <si>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</si>
  <si>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</si>
  <si>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</si>
  <si>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</si>
  <si>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</si>
  <si>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</si>
  <si>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</si>
  <si>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</si>
  <si>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</si>
  <si>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</si>
  <si>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</si>
  <si>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</si>
  <si>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</si>
  <si>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</si>
  <si>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</si>
  <si>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</si>
  <si>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</si>
  <si>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</si>
  <si>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</si>
  <si>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</si>
  <si>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</si>
  <si>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</si>
  <si>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</si>
  <si>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</si>
  <si>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</si>
  <si>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</si>
  <si>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</si>
  <si>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</si>
  <si>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</si>
  <si>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</si>
  <si>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</si>
  <si>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</si>
  <si>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</si>
  <si>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</si>
  <si>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</si>
  <si>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</si>
  <si>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</si>
  <si>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</si>
  <si>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</si>
  <si>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</si>
  <si>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</si>
  <si>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</si>
  <si>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</si>
  <si>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</si>
  <si>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</si>
  <si>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</si>
  <si>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</si>
  <si>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</si>
  <si>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</si>
  <si>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</si>
  <si>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</si>
  <si>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</si>
  <si>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</si>
  <si>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</si>
  <si>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</si>
  <si>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</si>
  <si>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</si>
  <si>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</si>
  <si>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</si>
  <si>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</si>
  <si>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</si>
  <si>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</si>
  <si>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</si>
  <si>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</si>
  <si>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</si>
  <si>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</si>
  <si>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</si>
  <si>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</si>
  <si>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</si>
  <si>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</si>
  <si>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</si>
  <si>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</si>
  <si>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</si>
  <si>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</si>
  <si>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</si>
  <si>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</si>
  <si>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</si>
  <si>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</si>
  <si>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</si>
  <si>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</si>
  <si>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</si>
  <si>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</si>
  <si>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</si>
  <si>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</si>
  <si>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</si>
  <si>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 xml:space="preserve">Профилированный лист оцинкованный с полимерным покрытием : С44-1000-0,7 465/1,18/5,58, м2
 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</si>
  <si>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</si>
  <si>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</si>
  <si>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</si>
  <si>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</si>
  <si>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</si>
  <si>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</si>
  <si>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</si>
  <si>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</si>
  <si>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</si>
  <si>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</si>
  <si>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</si>
  <si>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</si>
  <si>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</si>
  <si>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</si>
  <si>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</si>
  <si>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</si>
  <si>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</si>
  <si>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</si>
  <si>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</si>
  <si>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</si>
  <si>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</si>
  <si>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</si>
  <si>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</si>
  <si>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</si>
  <si>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</si>
  <si>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</si>
  <si>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</si>
  <si>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</si>
  <si>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</si>
  <si>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</si>
  <si>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</si>
  <si>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</si>
  <si>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КР, КР-2</t>
  </si>
  <si>
    <t>Проверил:____________________________</t>
  </si>
  <si>
    <t xml:space="preserve">                           Раздел 1. Демонтаж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</si>
  <si>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</si>
  <si>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84%=110%*(0.9*0.85) от ФОТ
СП 48%=70%*(0.85*0.8) от ФОТ
 </t>
  </si>
  <si>
    <t>4,3162
431,62/100</t>
  </si>
  <si>
    <t>154,66
124,02</t>
  </si>
  <si>
    <t xml:space="preserve">46.70 Разборка покрытий кровель: ОЗП=16,45; ЭМ=2,99; ЗПМ=16,45
 </t>
  </si>
  <si>
    <t>ФЕРр58-3-1
--------------------
Приказ Минстроя РФ от 30.01.14 №31/пр</t>
  </si>
  <si>
    <t xml:space="preserve">Разборка мелких покрытий и обделок из листовой стали: поясков, сандриков, желобов, отливов, свесов и т.п., 100 м труб и покрытий
НР 71%=83%*0.85 от ФОТ
СП 52%=65%*0.8 от ФОТ
 </t>
  </si>
  <si>
    <t>0,302
30,2/100</t>
  </si>
  <si>
    <t>71,18
70,98</t>
  </si>
  <si>
    <t xml:space="preserve">84.3 Разборка мелких покрытий и обделок из листовой стали: ОЗП=16,45; ЭМ=4,75; ЗПМ=16,45
 </t>
  </si>
  <si>
    <t>ФЕРр58-1-3
--------------------
Приказ Минстроя РФ от 30.01.14 №31/пр</t>
  </si>
  <si>
    <t xml:space="preserve">Разборка деревянных элементов конструкций крыш: стропил со стойками и подкосами из брусьев и бревен, 100 м2 кровли
НР 71%=83%*0.85 от ФОТ
СП 52%=65%*0.8 от ФОТ
 </t>
  </si>
  <si>
    <t>255,37
219,08</t>
  </si>
  <si>
    <t>36,29
5,67</t>
  </si>
  <si>
    <t xml:space="preserve">84.1 Разборка деревянных элементов конструкций крыш: ОЗП=16,45; ЭМ=12,02; ЗПМ=16,45
 </t>
  </si>
  <si>
    <t>1875
395</t>
  </si>
  <si>
    <t>27,08
0,42</t>
  </si>
  <si>
    <t>116,88
1,81</t>
  </si>
  <si>
    <t>ФЕРр58-1-4
--------------------
Приказ Минстроя РФ от 30.01.14 №31/пр</t>
  </si>
  <si>
    <t xml:space="preserve">Разборка деревянных элементов конструкций крыш: мауэрлатов, 100 м2 кровли
НР 71%=83%*0.85 от ФОТ
СП 52%=65%*0.8 от ФОТ
 </t>
  </si>
  <si>
    <t>76,77
53,44</t>
  </si>
  <si>
    <t>23,33
3,65</t>
  </si>
  <si>
    <t>1202
263</t>
  </si>
  <si>
    <t>6,73
0,27</t>
  </si>
  <si>
    <t>29,05
1,17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</si>
  <si>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</si>
  <si>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71%=83%*0.85 от ФОТ
СП 52%=65%*0.8 от ФОТ
 </t>
  </si>
  <si>
    <t>4,231
(53+370,1)/100</t>
  </si>
  <si>
    <t>160,11
120,37</t>
  </si>
  <si>
    <t>39,74
6,21</t>
  </si>
  <si>
    <t>2019
428</t>
  </si>
  <si>
    <t>15,16
0,46</t>
  </si>
  <si>
    <t>64,14
1,95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</si>
  <si>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</si>
  <si>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71%=83%*0.85 от ФОТ
СП 52%=65%*0.8 от ФОТ
 </t>
  </si>
  <si>
    <t>0,02
2/100</t>
  </si>
  <si>
    <t>2466,21
2455,84</t>
  </si>
  <si>
    <t xml:space="preserve">84.2 Разборка слуховых окон: ОЗП=16,45; ЭМ=4,64; ЗПМ=16,45
 </t>
  </si>
  <si>
    <t>ФЕР46-04-001-04
--------------------
Приказ Минстроя РФ от 30.01.14 №31/пр</t>
  </si>
  <si>
    <t xml:space="preserve">Разборка: кирпичных стен, 1 м3
НР 84%=110%*(0.9*0.85) от ФОТ
СП 48%=70%*(0.85*0.8) от ФОТ
 </t>
  </si>
  <si>
    <t>180,03
73,01</t>
  </si>
  <si>
    <t>107,02
11,57</t>
  </si>
  <si>
    <t xml:space="preserve">46.59 Разборка: кирпичных и мелкоблочных стен: ОЗП=16,45; ЭМ=7,36; ЗПМ=16,45
 </t>
  </si>
  <si>
    <t>1627
395</t>
  </si>
  <si>
    <t>8,24
1,15</t>
  </si>
  <si>
    <t>16,97
2,37</t>
  </si>
  <si>
    <t>ФЕРр65-2-2
--------------------
Приказ Минстроя РФ от 30.01.14 №31/пр</t>
  </si>
  <si>
    <t xml:space="preserve">Разборка трубопроводов из чугунных канализационных труб диаметром: 100 мм, 100 м трубопровода с фасонными частями
НР 63%=74%*0.85 от ФОТ
СП 40%=50%*0.8 от ФОТ
 </t>
  </si>
  <si>
    <t>0,038
3,8/100</t>
  </si>
  <si>
    <t>731,64
721,64</t>
  </si>
  <si>
    <t>10
4,32</t>
  </si>
  <si>
    <t xml:space="preserve">90.2 Разборка трубопроводов из чугунных канализационных труб: ОЗП=16,45; ЭМ=7,19; ЗПМ=16,45
 </t>
  </si>
  <si>
    <t>85,3
0,32</t>
  </si>
  <si>
    <t>3,24
0,01</t>
  </si>
  <si>
    <t>ФЕРр58-3-2
--------------------
Приказ Минстроя РФ от 30.01.14 №31/пр</t>
  </si>
  <si>
    <t xml:space="preserve">Разборка мелких покрытий и обделок из листовой стали: водосточных труб с земли и подмостей, 100 м труб и покрытий
НР 71%=83%*0.85 от ФОТ
СП 52%=65%*0.8 от ФОТ
 </t>
  </si>
  <si>
    <t>0,528
52,8/100</t>
  </si>
  <si>
    <t>88,54
88,54</t>
  </si>
  <si>
    <t>ФССЦпг01-01-01-041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</si>
  <si>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вручную, 1 т груза
НР 0% от ФОТ
СП 0% от ФОТ
 </t>
  </si>
  <si>
    <t xml:space="preserve">Мусор строительный, вручную: погрузка: ОЗП=10,64
 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</si>
  <si>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</si>
  <si>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 от ФОТ
СП 0% от ФОТ
 </t>
  </si>
  <si>
    <t>73,14
27+46,14</t>
  </si>
  <si>
    <t xml:space="preserve">Мусор строительный, экскаваторами емк,ковша 0,5 м3: погрузка; ЭМ=11,56
 </t>
  </si>
  <si>
    <t>ФССЦпг03-21-01-010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</si>
  <si>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10 км I класс груза, 1 т груза
НР 0% от ФОТ
СП 0% от ФОТ
 </t>
  </si>
  <si>
    <t xml:space="preserve">Перевозка грузов автомобилями-самосвалами грузоподъемностью 10 т, работающих вне карьера, на расстояние: до 10 км.: I класс груза; ЭМ=9,57
 </t>
  </si>
  <si>
    <t>Итого прямые затраты по разделу в ценах 2001г.</t>
  </si>
  <si>
    <t>1907
90</t>
  </si>
  <si>
    <t>313,68
7,31</t>
  </si>
  <si>
    <t>Итого прямые затраты по разделу с учетом индексов, в текущих ценах</t>
  </si>
  <si>
    <t>18041
1481</t>
  </si>
  <si>
    <t>Накладные расходы</t>
  </si>
  <si>
    <t>Сметная прибыль</t>
  </si>
  <si>
    <t>Итоги по разделу 1 Демонтаж 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</si>
  <si>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</si>
  <si>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>85,6
2,37</t>
  </si>
  <si>
    <t xml:space="preserve">  Крыши, кровли (ремонтно-строительные)</t>
  </si>
  <si>
    <t>224,84
4,93</t>
  </si>
  <si>
    <t xml:space="preserve">  Внутренние санитарно-технические работы: демонтаж и разборка (ремонтно-строительные)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</si>
  <si>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</si>
  <si>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</si>
  <si>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</si>
  <si>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</si>
  <si>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</si>
  <si>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</si>
  <si>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</si>
  <si>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</si>
  <si>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</t>
  </si>
  <si>
    <t xml:space="preserve">                           Раздел 2. Элементы стропильной и подстропильной системы</t>
  </si>
  <si>
    <t>ФЕР10-01-002-01
--------------------
Приказ Минстроя РФ от 30.01.14 №31/пр</t>
  </si>
  <si>
    <t xml:space="preserve">Установка стропил, 1 м3 древесины в конструкции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</si>
  <si>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2340,25
230,22</t>
  </si>
  <si>
    <t>47,78
2,54</t>
  </si>
  <si>
    <t xml:space="preserve">10.4. Установка стропил: ОЗП=16,45; ЭМ=10,79; ЗПМ=16,45; МАТ=3,71
 </t>
  </si>
  <si>
    <t>4273
345</t>
  </si>
  <si>
    <t>27,7035
0,1875</t>
  </si>
  <si>
    <t>229,55
1,55</t>
  </si>
  <si>
    <t xml:space="preserve">                                   Устройство карниза</t>
  </si>
  <si>
    <t>ФЕР10-01-008-05
--------------------
Приказ Минстроя России от 12.11.14 №703/пр</t>
  </si>
  <si>
    <t xml:space="preserve">Устройство: карнизов, 100 м2 стен, фронтонов (за вычетом проемов) и развернутых поверхностей карнизов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</si>
  <si>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0,322
32,2/100</t>
  </si>
  <si>
    <t>5516,45
1402,76</t>
  </si>
  <si>
    <t xml:space="preserve">10.12. Устройство карнизов: ОЗП=16,45; ЭМ=11,36; ЗПМ=16,45;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</si>
  <si>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</si>
  <si>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</si>
  <si>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МАТ=9,396
 </t>
  </si>
  <si>
    <t>ФССЦ-102-0060
--------------------
Приказ Минстроя России от 12.11.14 №703/пр</t>
  </si>
  <si>
    <t xml:space="preserve">Доски обрезные хвойных пород длиной: 4-6,5 м, шириной 75-150 мм, толщиной 44 мм и более, II сорта, м3
 </t>
  </si>
  <si>
    <t xml:space="preserve">Доски обрезные хвойных пород длиной 4-6,5 м, шириной 75-150 мм, толщиной 44 мм и более, II сорта; МАТ=4,156
 </t>
  </si>
  <si>
    <t>102-0023</t>
  </si>
  <si>
    <t xml:space="preserve">Бруски обрезные хвойных пород длиной: 4-6,5 м, шириной 75-150 мм, толщиной 40-75 мм, I сорта, м3
 </t>
  </si>
  <si>
    <t xml:space="preserve">Бруски обрезные хвойных пород длиной: 4-6,5 м, шириной 75-150 мм, толщиной 40-75 мм, I сорта; МАТ=4,615
 </t>
  </si>
  <si>
    <t>ФССЦ-102-0052
--------------------
Приказ Минстроя России от 12.11.14 №703/пр</t>
  </si>
  <si>
    <t xml:space="preserve">Доски обрезные хвойных пород длиной: 4-6,5 м, шириной 75-150 мм, толщиной 25 мм, II сорта, м3
 </t>
  </si>
  <si>
    <t xml:space="preserve">Доски обрезные хвойных пород длиной: 4-6,5 м, шириной 75-150 мм, толщиной 25 мм, II сорта; МАТ=3,99
 </t>
  </si>
  <si>
    <t>ФЕР10-01-022-06
--------------------
Приказ Минстроя РФ от 30.01.14 №31/пр</t>
  </si>
  <si>
    <t xml:space="preserve">Подшивка карнизов: сталью кровельной оцинкованной по дереву, 100 м2 потолка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</si>
  <si>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0,719
71,9/100</t>
  </si>
  <si>
    <t>4989,46
233,94</t>
  </si>
  <si>
    <t xml:space="preserve">10.52. Подшивка потолков: сталью кровельной оцинкованной по дереву: ОЗП=16,45; ЭМ=11,42; ЗПМ=16,45; МАТ=3,7
 </t>
  </si>
  <si>
    <t>ФССЦ-101-1706
--------------------
Приказ Минстроя России от 12.11.14 №703/пр</t>
  </si>
  <si>
    <t xml:space="preserve">Сталь листовая оцинкованная толщиной листа: 0,5 мм, т
 </t>
  </si>
  <si>
    <t xml:space="preserve">Сталь оцинкованная листовая толщиной листа 0,5 мм; МАТ=3,707
 </t>
  </si>
  <si>
    <t>ФССЦ-101-3860
--------------------
Приказ Минстроя России от 12.11.14 №703/пр</t>
  </si>
  <si>
    <t xml:space="preserve">Профилированный настил окрашенный: С10-1000-0,6, т
 </t>
  </si>
  <si>
    <t>0,430322
71,9*5,7*1,05/1000</t>
  </si>
  <si>
    <t xml:space="preserve">Профилированный настил окрашенный: С10-1000-0,6; МАТ=3,79
 </t>
  </si>
  <si>
    <t>ФЕР20-02-002-01
--------------------
Приказ Минстроя РФ от 30.01.14 №31/пр</t>
  </si>
  <si>
    <t xml:space="preserve">Установка решеток жалюзийных площадью в свету: до 0,5 м2, 1 решетка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</si>
  <si>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22,12
15,07</t>
  </si>
  <si>
    <t xml:space="preserve">20.3. Установка решеток жалюзийных: ОЗП=16,45; ЭМ=8,19; ЗПМ=16,45; МАТ=5,29
 </t>
  </si>
  <si>
    <t>ФССЦ-301-9545-90013</t>
  </si>
  <si>
    <t xml:space="preserve">Вентиляционные решетки алюминиевые АМР,  размером 200х200 мм 546,74/5,58, шт.
 </t>
  </si>
  <si>
    <t xml:space="preserve">Материалы; МАТ=5,58
 </t>
  </si>
  <si>
    <t>ФЕРр56-23-1
--------------------
Приказ Минстроя РФ от 30.01.14 №31/пр</t>
  </si>
  <si>
    <t xml:space="preserve">Обрамление проемов угловой сталью, 1 т
НР 70%=82%*0.85 от ФОТ
СП 50%=62%*0.8 от ФОТ
 </t>
  </si>
  <si>
    <t>0,12036
1,36*88,5/1000</t>
  </si>
  <si>
    <t>6729,28
394,68</t>
  </si>
  <si>
    <t>24,08
5,13</t>
  </si>
  <si>
    <t xml:space="preserve">82.51 Обрамление проемов угловой сталью: ОЗП=16,45; ЭМ=8,55; ЗПМ=16,45; МАТ=6,14
 </t>
  </si>
  <si>
    <t>26
16</t>
  </si>
  <si>
    <t>44
0,38</t>
  </si>
  <si>
    <t>5,3
0,05</t>
  </si>
  <si>
    <t>ФССЦ-101-0996
--------------------
Приказ Минстроя России от 12.11.14 №703/пр</t>
  </si>
  <si>
    <t xml:space="preserve">Угловой равнополочный горячекатаный прокат толщиной 11-30 мм, при ширине полки 180-200 мм, из углеродистой обыкновенного качества стали марки: Ст6сп, т
 </t>
  </si>
  <si>
    <t xml:space="preserve">Угловой равнополочный горячекатаный прокат толщиной 11-30 мм, при ширине полки 180-200 мм, из углеродистой обыкновенного качества стали марки:Ст6сп; МАТ=6,152
 </t>
  </si>
  <si>
    <t>101-2404</t>
  </si>
  <si>
    <t xml:space="preserve">Угол наружный, внутренний из оцинкованной стали с полимерным покрытием, п.м
 </t>
  </si>
  <si>
    <t xml:space="preserve">Угол наружный, внутренний из оцинкованной стали с полимерным покрытием; МАТ=6,968
 </t>
  </si>
  <si>
    <t xml:space="preserve">                                   Обрешетка</t>
  </si>
  <si>
    <t>ФЕРр58-12-1
--------------------
Приказ Минстроя РФ от 30.01.14 №31/пр</t>
  </si>
  <si>
    <t xml:space="preserve">Устройство обрешетки сплошной из досок, 100 м2
НР 71%=83%*0.85 от ФОТ
СП 52%=65%*0.8 от ФОТ
 </t>
  </si>
  <si>
    <t>1,89
189/100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</si>
  <si>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</si>
  <si>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</si>
  <si>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</si>
  <si>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770
181</t>
  </si>
  <si>
    <t>31,83
0,44</t>
  </si>
  <si>
    <t>60,16
0,83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</si>
  <si>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</si>
  <si>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71%=83%*0.85 от ФОТ
СП 52%=65%*0.8 от ФОТ
 </t>
  </si>
  <si>
    <t>2,725
272,5/100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</si>
  <si>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</si>
  <si>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</si>
  <si>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</si>
  <si>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708
197</t>
  </si>
  <si>
    <t>21,35
0,32</t>
  </si>
  <si>
    <t>58,18
0,87</t>
  </si>
  <si>
    <t xml:space="preserve">                                   Огнезащита древесины</t>
  </si>
  <si>
    <t>ФЕР10-01-091-01
--------------------
Приказ Минстроя РФ от 30.01.14 №31/пр</t>
  </si>
  <si>
    <t xml:space="preserve">Антисептическая обработка деревянных конструкций составом "Пирилакс" при помощи аппарата аэрозольно-капельного распыления, 100 м2 обрабатываемой поверхности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</si>
  <si>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13,3
1330/100</t>
  </si>
  <si>
    <t>280,96
55,13</t>
  </si>
  <si>
    <t>49,66
0,58</t>
  </si>
  <si>
    <t xml:space="preserve">10.149 Антисептическая обработка деревянных конструкций составом 'Пирилакс': ОЗП=16,45; ЭМ=11,17; ЗПМ=16,45; МАТ=10,78
 </t>
  </si>
  <si>
    <t>7372
132</t>
  </si>
  <si>
    <t>5,865
0,05</t>
  </si>
  <si>
    <t>78
0,67</t>
  </si>
  <si>
    <t xml:space="preserve">                                   Устройство кровли</t>
  </si>
  <si>
    <t>ФЕР12-01-023-01
--------------------
Приказ Минстроя РФ от 30.01.14 №31/пр</t>
  </si>
  <si>
    <t xml:space="preserve">Устройство кровли из металлочерепицы по готовым прогонам: простая кровля, 100 м2 кровли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</si>
  <si>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3,613
361,3/100</t>
  </si>
  <si>
    <t>9676,33
382,84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</si>
  <si>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</si>
  <si>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</si>
  <si>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5772
790</t>
  </si>
  <si>
    <t>44,3095
0,9875</t>
  </si>
  <si>
    <t>160,09
3,57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</si>
  <si>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</si>
  <si>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</si>
  <si>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</si>
  <si>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Металлпрофиль</t>
  </si>
  <si>
    <t>397,43
361,3*1,1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</si>
  <si>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</si>
  <si>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71%=83%*0.85 от ФОТ
СП 52%=65%*0.8 от ФОТ
 </t>
  </si>
  <si>
    <t>4,5323
453,23/100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</si>
  <si>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</si>
  <si>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</si>
  <si>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</si>
  <si>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</si>
  <si>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</si>
  <si>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ТССЦ-104-9221-90004
--------------------
И8</t>
  </si>
  <si>
    <t xml:space="preserve">Изоспан: Защитный материал марки D 12,03/5,58, м2
 </t>
  </si>
  <si>
    <t>ФЕР12-01-010-01
--------------------
Приказ Минстроя РФ от 30.01.14 №31/пр</t>
  </si>
  <si>
    <t xml:space="preserve">Устройство мелких покрытий (брандмауэры, парапеты, свесы и т.п.) из листовой оцинкованной стали, 100 м2 покрытия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</si>
  <si>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1,511
(127,6+23,5)/100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</si>
  <si>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</si>
  <si>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</si>
  <si>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</si>
  <si>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522
82</t>
  </si>
  <si>
    <t>129,6625
0,25</t>
  </si>
  <si>
    <t>195,92
0,38</t>
  </si>
  <si>
    <t>ФЕР12-01-009-01, применит.
--------------------
Приказ Минстроя РФ от 30.01.14 №31/пр</t>
  </si>
  <si>
    <t xml:space="preserve">Устройство желобов: настенных, 100 м желобов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</si>
  <si>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0,892
89,2/100</t>
  </si>
  <si>
    <t>19135,17
831,36</t>
  </si>
  <si>
    <t>370,19
35,61</t>
  </si>
  <si>
    <t xml:space="preserve">12.26. Устройство желобов: ОЗП=16,45; ЭМ=11,44; ЗПМ=16,45; МАТ=4,06
 </t>
  </si>
  <si>
    <t>3775
526</t>
  </si>
  <si>
    <t>97,4625
2,6375</t>
  </si>
  <si>
    <t>86,94
2,35</t>
  </si>
  <si>
    <t>ТССЦ-101-2410-20002</t>
  </si>
  <si>
    <t xml:space="preserve">Планка оцинкованная, с полимерным покрытием конька металлочерепичного: плоского, с полкой 190мм 141,14/5,58, м
 </t>
  </si>
  <si>
    <t xml:space="preserve">; МАТ=5,58
 </t>
  </si>
  <si>
    <t>ТССЦ-101-2410-20008
--------------------
И8</t>
  </si>
  <si>
    <t xml:space="preserve">Планка примыкания нижняя металлочерепичная оцинкованная, с полимерным покрытием(примыкание к ВК, СО, Фан. тр) 160,85/5,58, м
 </t>
  </si>
  <si>
    <t>ФССЦ-101-1998
--------------------
Приказ Минстроя России от 12.11.14 №703/пр</t>
  </si>
  <si>
    <t xml:space="preserve">Прокладки уплотнительные: пенополиуретановые открытопористые для металлочерепицы (1800*50*50 мм), м
 </t>
  </si>
  <si>
    <t>92,9
27,3+65,6</t>
  </si>
  <si>
    <t xml:space="preserve">Прокладки уплотнительные:пенополиуретановые открытопористые для металлочерепицы (1800*50*50 мм); МАТ=1,637
 </t>
  </si>
  <si>
    <t xml:space="preserve">                                   Страховочный трос</t>
  </si>
  <si>
    <t>ФЕР12-01-012-01
--------------------
Приказ Минстроя РФ от 30.01.14 №31/пр</t>
  </si>
  <si>
    <t xml:space="preserve">Ограждение кровель перилами, 100 м ограждения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</si>
  <si>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0,183
18,3/100</t>
  </si>
  <si>
    <t>3170,1
67,97</t>
  </si>
  <si>
    <t>69,23
4,9</t>
  </si>
  <si>
    <t xml:space="preserve">12.29. Ограждение кровель перилами: ОЗП=16,45; ЭМ=9,92; ЗПМ=16,45; МАТ=7,67
 </t>
  </si>
  <si>
    <t>129
16</t>
  </si>
  <si>
    <t>7,6705
0,3625</t>
  </si>
  <si>
    <t>1,4
0,07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</si>
  <si>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</si>
  <si>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</si>
  <si>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</si>
  <si>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</si>
  <si>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</si>
  <si>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</si>
  <si>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 xml:space="preserve">Устройство переходного мостика, 100 м ограждения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</si>
  <si>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0,58
0,03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</si>
  <si>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</si>
  <si>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</si>
  <si>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МАТ=5,746
 </t>
  </si>
  <si>
    <t xml:space="preserve">                                   Слуховые окна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</si>
  <si>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</si>
  <si>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</si>
  <si>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ФЕР10-01-003-01
--------------------
Приказ Минстроя РФ от 30.01.14 №31/пр</t>
  </si>
  <si>
    <t xml:space="preserve">Устройство слуховых окон, 1 слуховое окно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</si>
  <si>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392,81
65,03</t>
  </si>
  <si>
    <t>27,58
1,86</t>
  </si>
  <si>
    <t xml:space="preserve">10.5. Устройство слуховых окон: ОЗП=16,45; ЭМ=10,98; ЗПМ=16,45; МАТ=5,3
 </t>
  </si>
  <si>
    <t>911
99</t>
  </si>
  <si>
    <t>7,6245
0,1375</t>
  </si>
  <si>
    <t>22,87
0,41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</si>
  <si>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</si>
  <si>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</si>
  <si>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</si>
  <si>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</si>
  <si>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</si>
  <si>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</si>
  <si>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 xml:space="preserve">Обшивка карнизов: сталью кровельной оцинкованной по дереву, 100 м2 потолка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</si>
  <si>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0,2731
27,31 / 100</t>
  </si>
  <si>
    <t xml:space="preserve">                                   Лестницы</t>
  </si>
  <si>
    <t>ФЕР10-01-053-01
--------------------
Приказ Минстроя РФ от 30.01.14 №31/пр</t>
  </si>
  <si>
    <t xml:space="preserve">Установка каркаса из брусьев для навесов и крылец, 1 м3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</si>
  <si>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2926,9
477,14</t>
  </si>
  <si>
    <t>44,96
2,36</t>
  </si>
  <si>
    <t xml:space="preserve">10.128 Установка каркаса из брусьев для навесов и крылец: ОЗП=16,45; ЭМ=10,81; ЗПМ=16,45; МАТ=2,88
 </t>
  </si>
  <si>
    <t>48,8865
0,175</t>
  </si>
  <si>
    <t>3,23
0,01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</si>
  <si>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</si>
  <si>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58%=85%*(0.85*0.8)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</si>
  <si>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</si>
  <si>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</si>
  <si>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ОЗП=16,45; ЭМ=10,28; ЗПМ=16,45; МАТ=5,25
 </t>
  </si>
  <si>
    <t>740
132</t>
  </si>
  <si>
    <t>37,2255
7,05</t>
  </si>
  <si>
    <t>3,09
0,59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</si>
  <si>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</si>
  <si>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(на два раза ПЗ=2 (ОЗП=2; ЭМ=2 к расх.; ЗПМ=2; МАТ=2 к расх.; ТЗ=2; ТЗМ=2);
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69%=90%*(0.9*0.85) от ФОТ
СП 48%=70%*(0.85*0.8) от ФОТ
 </t>
  </si>
  <si>
    <t>658,01
79,9</t>
  </si>
  <si>
    <t>15,55
0,25</t>
  </si>
  <si>
    <t xml:space="preserve">13.100 Окраска металлических огрунтованных поверхностей: эмалью ПФ-115: ОЗП=16,45; ЭМ=10,62; ЗПМ=16,45; МАТ=4,94
 </t>
  </si>
  <si>
    <t>8,809
0,025</t>
  </si>
  <si>
    <t xml:space="preserve">                                   Кровельное ограждение лист</t>
  </si>
  <si>
    <t>585
66</t>
  </si>
  <si>
    <t>6,52
0,31</t>
  </si>
  <si>
    <t>ФССЦ-201-0650
--------------------
Приказ Минстроя России от 12.11.14 №703/пр</t>
  </si>
  <si>
    <t xml:space="preserve">Ограждения лестничных проемов, лестничные марши, пожарные лестницы, т
 </t>
  </si>
  <si>
    <t xml:space="preserve">Ограждения лестничных проемов, лестничные марши, пожарные лестницы; МАТ=9,625
 </t>
  </si>
  <si>
    <t>2507
157</t>
  </si>
  <si>
    <t>1071,11
11,69</t>
  </si>
  <si>
    <t>27285
2582</t>
  </si>
  <si>
    <t>Итоги по разделу 2 Элементы стропильной и подстропильной системы :</t>
  </si>
  <si>
    <t xml:space="preserve">  Деревянные конструкции</t>
  </si>
  <si>
    <t>415,01
2,64</t>
  </si>
  <si>
    <t xml:space="preserve">  Материалы для строительных работ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</si>
  <si>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</si>
  <si>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Проемы (ремонтно-строительные)</t>
  </si>
  <si>
    <t>138,83
1,7</t>
  </si>
  <si>
    <t xml:space="preserve">  Кровли</t>
  </si>
  <si>
    <t>451,45
6,71</t>
  </si>
  <si>
    <t xml:space="preserve">  Строительные металлические конструкции</t>
  </si>
  <si>
    <t xml:space="preserve">  Защита строительных конструкций и оборудования от коррозии</t>
  </si>
  <si>
    <t xml:space="preserve">      Материалы</t>
  </si>
  <si>
    <t xml:space="preserve">  Итого по разделу 2 Элементы стропильной и подстропильной системы</t>
  </si>
  <si>
    <t xml:space="preserve">                           Раздел 3. Вент. каналы</t>
  </si>
  <si>
    <t>ФЕР08-02-001-09
--------------------
Приказ Минстроя РФ от 30.01.14 №31/пр</t>
  </si>
  <si>
    <t xml:space="preserve">Кладка стен приямков и каналов, 1 м3 кладки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93%=122%*(0.9*0.85) от ФОТ
СП 54%=80%*(0.85*0.8) от ФОТ
 </t>
  </si>
  <si>
    <t>929,85
67,65</t>
  </si>
  <si>
    <t>38,88
6,08</t>
  </si>
  <si>
    <t xml:space="preserve">8.14. Кладка стен из кирпича: ОЗП=16,45; ЭМ=12,02; ЗПМ=16,45; МАТ=4,63
 </t>
  </si>
  <si>
    <t>781
165</t>
  </si>
  <si>
    <t>8,142
0,45</t>
  </si>
  <si>
    <t>13,52
0,75</t>
  </si>
  <si>
    <t>ФЕР15-02-015-01
--------------------
Приказ Минстроя России от 12.11.14 №703/пр</t>
  </si>
  <si>
    <t xml:space="preserve">Штукатурка поверхностей внутри здания известковым раствором простая: по камню и бетону стен, 100 м2 оштукатуриваемой поверхности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80%=105%*(0.9*0.85) от ФОТ
СП 37%=55%*(0.85*0.8) от ФОТ
 </t>
  </si>
  <si>
    <t>1588,5
684,87</t>
  </si>
  <si>
    <t>93,18
56,89</t>
  </si>
  <si>
    <t xml:space="preserve">15.83 Штукатурка поверхностей известковым раствором по камню и бетону: ОЗП=16,45; ЭМ=11,59; ЗПМ=16,45; МАТ=6,15
 </t>
  </si>
  <si>
    <t>301
263</t>
  </si>
  <si>
    <t>75,509
6,2375</t>
  </si>
  <si>
    <t>21,22
1,75</t>
  </si>
  <si>
    <t>ФЕР26-01-054-01
--------------------
Приказ Минстроя РФ от 30.01.14 №31/пр</t>
  </si>
  <si>
    <t xml:space="preserve">Обертывание поверхности изоляции рулонными материалами насухо с проклейкой швов, 100 м2 поверхности покрытия изоляции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</si>
  <si>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1785,63
317,76</t>
  </si>
  <si>
    <t xml:space="preserve">26.71 Обертывание поверхности изоляции рулонными материалами насухо с проклейкой швов: ОЗП=16,45; ЭМ=10,4; ЗПМ=16,45; МАТ=9,73
 </t>
  </si>
  <si>
    <t>ФССЦ-101-1794
--------------------
Приказ Минстроя России от 12.11.14 №703/пр</t>
  </si>
  <si>
    <t xml:space="preserve">Бризол, 1000 м2
 </t>
  </si>
  <si>
    <t xml:space="preserve">Бризол; МАТ=11,969
 </t>
  </si>
  <si>
    <t>ТССЦ-104-9221-90002
--------------------
И8</t>
  </si>
  <si>
    <t xml:space="preserve">Изоспан: Двухслойная паропроницаемая мембрана марки В 13,60/5,58, м2
 </t>
  </si>
  <si>
    <t>32,315
28,1*1,15</t>
  </si>
  <si>
    <t>ФССЦ-104-0077
--------------------
Приказ Минстроя России от 12.11.14 №703/пр</t>
  </si>
  <si>
    <t xml:space="preserve">Стеклопластик рулонный марки: РСТ-А-Л-В, 1000 м2
 </t>
  </si>
  <si>
    <t>0,024564
21,36*1,15/1000</t>
  </si>
  <si>
    <t xml:space="preserve">Стеклопластик рулонный марки:РСТ-А-Л-В; МАТ=1,537
 </t>
  </si>
  <si>
    <t>ФЕР26-01-036-01
--------------------
Приказ Минстроя РФ от 30.01.14 №31/пр</t>
  </si>
  <si>
    <t xml:space="preserve">Изоляция изделиями из волокнистых и зернистых материалов с креплением на клее и дюбелями холодных поверхностей: наружных стен, 100 м2 поверхности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</si>
  <si>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0,296
29,6/100</t>
  </si>
  <si>
    <t>269,35
152,18</t>
  </si>
  <si>
    <t>11,73
0,51</t>
  </si>
  <si>
    <t xml:space="preserve">26.40 Изоляция изделиями из волокнистых и зернистых материалов с креплением на клее и дюбелями холодных поверхностей: наружных стен: ОЗП=16,45; ЭМ=9,37; ЗПМ=16,45; МАТ=1,42
 </t>
  </si>
  <si>
    <t>18,469
0,0375</t>
  </si>
  <si>
    <t>5,47
0,01</t>
  </si>
  <si>
    <t>ТССЦ-104-9100-91004
--------------------
И8</t>
  </si>
  <si>
    <t xml:space="preserve">Плиты теплоизоляционные энергетические гидрофобизированные базальтовые: ПТЭ-125 , размером 2000х1000х50 мм 3866.28/5,58, м3
 </t>
  </si>
  <si>
    <t>ФССЦ-101-2796
--------------------
Приказ Минстроя России от 12.11.14 №703/пр</t>
  </si>
  <si>
    <t xml:space="preserve">Дюбель распорный с металлическим стержнем: 10х120 мм, 10 шт.
 </t>
  </si>
  <si>
    <t>14,8
148/10</t>
  </si>
  <si>
    <t xml:space="preserve">Дюбель распорный с металлическим стержнем: 10х120 мм; МАТ=10,533
 </t>
  </si>
  <si>
    <t>0,0945
9,45/100</t>
  </si>
  <si>
    <t>12,25
0,02</t>
  </si>
  <si>
    <t>ФЕР26-01-054-03
--------------------
Приказ Минстроя РФ от 30.01.14 №31/пр</t>
  </si>
  <si>
    <t xml:space="preserve">Оклеивание поверхности изоляции: тканями стеклянными, хлопчатобумажными на клее ПВА, 100 м2 поверхности покрытия изоляции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</si>
  <si>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0,2136
21,36/100</t>
  </si>
  <si>
    <t>4091,48
437,18</t>
  </si>
  <si>
    <t xml:space="preserve">26.73 Оклеивание поверхности изоляции: тканями стеклянными, хлопчатобумажными на клее ПВА: ОЗП=16,45; ЭМ=11,06; ЗПМ=16,45; МАТ=4,95
 </t>
  </si>
  <si>
    <t>ФЕР10-01-010-01
--------------------
Приказ Минстроя РФ от 30.01.14 №31/пр</t>
  </si>
  <si>
    <t xml:space="preserve">Установка элементов каркаса: из брусьев, 1 м3 древесины в конструкции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90%=118%*(0.9*0.85) от ФОТ
СП 43%=63%*(0.85*0.8) от ФОТ
 </t>
  </si>
  <si>
    <t>2447,72
216,83</t>
  </si>
  <si>
    <t xml:space="preserve">10.18. Установка деревянных элементов каркаса: ОЗП=16,45; ЭМ=11,08; ЗПМ=16,45; МАТ=3,37
 </t>
  </si>
  <si>
    <t>ФЕР12-01-011-01
--------------------
Приказ Минстроя РФ от 30.01.14 №31/пр</t>
  </si>
  <si>
    <t xml:space="preserve">Устройство зонтов, 1 колпак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92%=120%*(0.9*0.85) от ФОТ
СП 44%=65%*(0.85*0.8) от ФОТ
 </t>
  </si>
  <si>
    <t>446,82
18,93</t>
  </si>
  <si>
    <t xml:space="preserve">12.28. Устройство колпаков над шахтами: ОЗП=16,45; ЭМ=11,45; ЗПМ=16,45; МАТ=3,67
 </t>
  </si>
  <si>
    <t>ФССЦ-101-1875
--------------------
Приказ Минстроя России от 12.11.14 №703/пр</t>
  </si>
  <si>
    <t xml:space="preserve">Сталь листовая оцинкованная толщиной листа: 0,7 мм, т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</si>
  <si>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 xml:space="preserve">Сталь листовая оцинкованная толщиной листа:0,7 мм; МАТ=3,663
 </t>
  </si>
  <si>
    <t xml:space="preserve">Лист оцинкованный с полимерным покрытием , толщиной 0,7 мм 400/1,18/5,58, м2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 </t>
  </si>
  <si>
    <t>3,179
2,89*1,1</t>
  </si>
  <si>
    <t>147
26</t>
  </si>
  <si>
    <t>91,59
2,53</t>
  </si>
  <si>
    <t>1679
428</t>
  </si>
  <si>
    <t>Итоги по разделу 3 Вент. каналы :</t>
  </si>
  <si>
    <t xml:space="preserve">  Конструкции из кирпича и блоков</t>
  </si>
  <si>
    <t xml:space="preserve">  Отделочные работы</t>
  </si>
  <si>
    <t xml:space="preserve">  Теплоизоляционные работы</t>
  </si>
  <si>
    <t>34,47
0,01</t>
  </si>
  <si>
    <t>16,69
0,02</t>
  </si>
  <si>
    <t xml:space="preserve">  Итого по разделу 3 Вент. каналы</t>
  </si>
  <si>
    <t xml:space="preserve">                           Раздел 4. Фановые трубы</t>
  </si>
  <si>
    <t>ФЕР16-04-001-02
--------------------
Приказ Минстроя РФ от 30.01.14 №31/пр</t>
  </si>
  <si>
    <t xml:space="preserve">Прокладка трубопроводов канализации из полиэтиленовых труб высокой плотности диаметром: 110 мм, 100 м трубопровода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98%=128%*(0.9*0.85) от ФОТ
СП 56%=83%*(0.85*0.8) от ФОТ
 </t>
  </si>
  <si>
    <t>0,64
64/100</t>
  </si>
  <si>
    <t>7877,8
702,73</t>
  </si>
  <si>
    <t>8,23
0,85</t>
  </si>
  <si>
    <t xml:space="preserve">16.103 Прокладка трубопроводов канализации из полиэтиленовых труб высокой плотности диаметром: 100 мм: ОЗП=16,45; ЭМ=11,41; ЗПМ=16,45; МАТ=3,14
 </t>
  </si>
  <si>
    <t>57
16</t>
  </si>
  <si>
    <t>70,84
0,0625</t>
  </si>
  <si>
    <t>45,34
0,04</t>
  </si>
  <si>
    <t>0,01246
12.46/1000</t>
  </si>
  <si>
    <t>ФЕР26-01-009-01
--------------------
Приказ Минстроя РФ от 30.01.14 №31/пр</t>
  </si>
  <si>
    <t xml:space="preserve">Изоляция трубопроводов: матами минераловатными марок 75, 100, плитами минераловатными на синтетическом связующем марки 75, 1 м3 изоляции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</si>
  <si>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1603,97
211,58</t>
  </si>
  <si>
    <t xml:space="preserve">26.13. Изоляция трубопроводов: матами минераловатными марок 75, 100, плитами минераловатными на синтетическом связующем марки 75: ОЗП=16,45; ЭМ=11,33; ЗПМ=16,45; МАТ=3,45
 </t>
  </si>
  <si>
    <t>ФССЦ-104-0009
--------------------
Приказ Минстроя России от 12.11.14 №703/пр</t>
  </si>
  <si>
    <t xml:space="preserve">Маты прошивные из минеральной ваты: без обкладок М-100, толщина 60 мм, м3
 </t>
  </si>
  <si>
    <t xml:space="preserve">Маты прошивные из минеральной ваты:без обкладок М-100, толщина 60 мм; МАТ=3,423
 </t>
  </si>
  <si>
    <t>NCCW-104-9242-90005</t>
  </si>
  <si>
    <t xml:space="preserve">Утеплитель URSA: М 15, толщиной 50 мм 64,28/5.58, м2
 </t>
  </si>
  <si>
    <t>22,866
11,1*2*1.03</t>
  </si>
  <si>
    <t>ФЕР26-01-049-02
--------------------
Приказ Минстроя РФ от 30.01.14 №31/пр</t>
  </si>
  <si>
    <t xml:space="preserve">Покрытие поверхности изоляции трубопроводов: сталью оцинкованной, 100 м2 поверхности покрытия изоляции
(При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77%=100%*(0.9*0.85) от ФОТ
СП 48%=70%*(0.85*0.8) от ФОТ
 </t>
  </si>
  <si>
    <t>0,048
4,8/100</t>
  </si>
  <si>
    <t>15600,6
1666,99</t>
  </si>
  <si>
    <t xml:space="preserve">26.63 Покрытие поверхности изоляции трубопроводов: сталью оцинкованной: ОЗП=16,45; ЭМ=7,81; ЗПМ=16,45; МАТ=4,07
 </t>
  </si>
  <si>
    <t>ФССЦ-101-1876
--------------------
Приказ Минстроя России от 12.11.14 №703/пр</t>
  </si>
  <si>
    <t xml:space="preserve">Сталь листовая оцинкованная толщиной листа: 0,8 мм, т
 </t>
  </si>
  <si>
    <t xml:space="preserve">Сталь листовая оцинкованная толщиной листа:0,8 мм; МАТ=3,713
 </t>
  </si>
  <si>
    <t>0,020815
4.8*4,13*1,05/1000</t>
  </si>
  <si>
    <t>154
1</t>
  </si>
  <si>
    <t>84,41
0,04</t>
  </si>
  <si>
    <t>1530
16</t>
  </si>
  <si>
    <t>Итоги по разделу 4 Фановые трубы :</t>
  </si>
  <si>
    <t xml:space="preserve">  Итого по разделу 4 Фановые трубы</t>
  </si>
  <si>
    <t xml:space="preserve">                           Раздел 5. Водоотвод</t>
  </si>
  <si>
    <t>ФЕРр58-15-2
--------------------
Приказ Минстроя РФ от 30.01.14 №31/пр</t>
  </si>
  <si>
    <t xml:space="preserve">Перенавеска водосточных труб: с люлек, 100 м труб
НР 71%=83%*0.85 от ФОТ
СП 52%=65%*0.8 от ФОТ
 </t>
  </si>
  <si>
    <t>0,584
58,4/100</t>
  </si>
  <si>
    <t>947,19
939,17</t>
  </si>
  <si>
    <t xml:space="preserve">84.42 Перенавеска водосточных труб: ОЗП=16,45; МАТ=3,39
 </t>
  </si>
  <si>
    <t>Металл профи</t>
  </si>
  <si>
    <t xml:space="preserve">Труба водосточная оцинкованная с полимерным покрытием 140мм 480/1,18/5,58, м
 </t>
  </si>
  <si>
    <t xml:space="preserve">Колено сливное оцинкованное с полимерным покрытием 428/1,18/5,58, шт
 </t>
  </si>
  <si>
    <t xml:space="preserve">Составил:____________________________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</si>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</sst>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4" fillId="0" borderId="0" xfId="0" applyFont="1" applyAlignment="1">
      <alignment horizontal="center" vertical="top"/>
    </xf>
    <xf numFmtId="0" fontId="14" fillId="0" borderId="0" xfId="68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0" xfId="68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left" vertical="top"/>
    </xf>
    <xf numFmtId="0" fontId="15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6" fillId="0" borderId="0" xfId="68" applyFont="1" applyAlignment="1">
      <alignment horizontal="center"/>
    </xf>
    <xf numFmtId="0" fontId="14" fillId="0" borderId="0" xfId="0" applyFont="1" applyAlignment="1">
      <alignment horizontal="right"/>
    </xf>
    <xf numFmtId="0" fontId="14" fillId="0" borderId="20" xfId="68" applyFont="1" applyBorder="1" applyAlignment="1">
      <alignment horizontal="left"/>
    </xf>
    <xf numFmtId="0" fontId="14" fillId="0" borderId="20" xfId="0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68" applyFont="1" applyAlignment="1" quotePrefix="1">
      <alignment horizontal="left"/>
    </xf>
    <xf numFmtId="0" fontId="14" fillId="0" borderId="0" xfId="69" applyFont="1" applyAlignment="1">
      <alignment horizontal="left"/>
      <protection/>
    </xf>
    <xf numFmtId="0" fontId="14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 wrapText="1"/>
    </xf>
    <xf numFmtId="0" fontId="14" fillId="0" borderId="20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 quotePrefix="1">
      <alignment horizontal="right" vertical="top"/>
    </xf>
    <xf numFmtId="0" fontId="14" fillId="0" borderId="0" xfId="0" applyFont="1" applyFill="1" applyBorder="1" applyAlignment="1" quotePrefix="1">
      <alignment horizontal="left" vertical="top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Border="1" applyAlignment="1" quotePrefix="1">
      <alignment horizontal="left" vertical="top"/>
    </xf>
    <xf numFmtId="0" fontId="16" fillId="0" borderId="0" xfId="0" applyFont="1" applyAlignment="1">
      <alignment/>
    </xf>
    <xf numFmtId="0" fontId="14" fillId="0" borderId="1" xfId="0" applyFont="1" applyBorder="1" applyAlignment="1" quotePrefix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54" applyFont="1" applyBorder="1" applyAlignment="1">
      <alignment horizontal="center" wrapText="1"/>
      <protection/>
    </xf>
    <xf numFmtId="0" fontId="14" fillId="0" borderId="0" xfId="54" applyFont="1" applyBorder="1" applyAlignment="1">
      <alignment horizontal="center" wrapText="1"/>
      <protection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NumberFormat="1" applyFont="1" applyBorder="1" applyAlignment="1">
      <alignment horizontal="right" vertical="top" wrapText="1"/>
    </xf>
    <xf numFmtId="0" fontId="14" fillId="0" borderId="1" xfId="52" applyFont="1" applyBorder="1" applyAlignment="1">
      <alignment horizontal="right" vertical="top" wrapText="1"/>
      <protection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NumberFormat="1" applyFont="1" applyBorder="1" applyAlignment="1">
      <alignment horizontal="right" vertical="top" wrapText="1"/>
    </xf>
    <xf numFmtId="0" fontId="14" fillId="0" borderId="0" xfId="72" applyFont="1" applyAlignment="1">
      <alignment horizontal="left" vertical="top"/>
      <protection/>
    </xf>
    <xf numFmtId="0" fontId="14" fillId="0" borderId="0" xfId="0" applyFont="1" applyAlignment="1">
      <alignment wrapText="1"/>
    </xf>
    <xf numFmtId="0" fontId="14" fillId="0" borderId="1" xfId="52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  <xf numFmtId="0" fontId="16" fillId="0" borderId="1" xfId="52" applyFont="1" applyBorder="1" applyAlignment="1">
      <alignment horizontal="left" vertical="top" wrapText="1"/>
      <protection/>
    </xf>
    <xf numFmtId="0" fontId="16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4" fillId="0" borderId="0" xfId="68" applyFont="1" applyAlignment="1">
      <alignment horizontal="left"/>
    </xf>
    <xf numFmtId="0" fontId="14" fillId="0" borderId="20" xfId="68" applyFont="1" applyBorder="1">
      <alignment horizontal="right" indent="1"/>
    </xf>
    <xf numFmtId="0" fontId="14" fillId="0" borderId="21" xfId="68" applyFont="1" applyBorder="1">
      <alignment horizontal="right" indent="1"/>
    </xf>
    <xf numFmtId="0" fontId="14" fillId="0" borderId="22" xfId="0" applyFont="1" applyBorder="1" applyAlignment="1" quotePrefix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3" xfId="0" applyFont="1" applyBorder="1" applyAlignment="1" quotePrefix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6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4" fillId="0" borderId="26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6"/>
  <sheetViews>
    <sheetView showGridLines="0" tabSelected="1" zoomScale="104" zoomScaleNormal="104" zoomScalePageLayoutView="0" workbookViewId="0" topLeftCell="A68">
      <selection activeCell="P18" sqref="P18"/>
    </sheetView>
  </sheetViews>
  <sheetFormatPr defaultColWidth="9.00390625" defaultRowHeight="12.75"/>
  <cols>
    <col min="1" max="1" width="3.375" style="87" customWidth="1"/>
    <col min="2" max="2" width="16.375" style="87" customWidth="1"/>
    <col min="3" max="3" width="30.875" style="87" customWidth="1"/>
    <col min="4" max="4" width="6.875" style="87" customWidth="1"/>
    <col min="5" max="5" width="10.625" style="65" customWidth="1"/>
    <col min="6" max="6" width="10.375" style="65" customWidth="1"/>
    <col min="7" max="7" width="9.875" style="65" customWidth="1"/>
    <col min="8" max="8" width="20.25390625" style="65" customWidth="1"/>
    <col min="9" max="9" width="8.375" style="65" customWidth="1"/>
    <col min="10" max="10" width="8.125" style="65" customWidth="1"/>
    <col min="11" max="11" width="10.125" style="65" customWidth="1"/>
    <col min="12" max="12" width="9.875" style="65" customWidth="1"/>
    <col min="13" max="13" width="7.375" style="65" customWidth="1"/>
    <col min="14" max="14" width="6.875" style="61" customWidth="1"/>
    <col min="15" max="15" width="9.125" style="61" customWidth="1"/>
    <col min="16" max="16" width="19.75390625" style="61" customWidth="1"/>
    <col min="17" max="16384" width="9.125" style="61" customWidth="1"/>
  </cols>
  <sheetData>
    <row r="1" spans="1:13" s="48" customFormat="1" ht="12">
      <c r="A1" s="46"/>
      <c r="B1" s="47"/>
      <c r="C1" s="46"/>
      <c r="E1" s="49"/>
      <c r="F1" s="50" t="s">
        <v>40</v>
      </c>
      <c r="G1" s="49"/>
      <c r="H1" s="51"/>
      <c r="I1" s="46"/>
      <c r="J1" s="46"/>
      <c r="K1" s="46"/>
      <c r="L1" s="46"/>
      <c r="M1" s="46"/>
    </row>
    <row r="2" spans="1:13" s="48" customFormat="1" ht="12">
      <c r="A2" s="52" t="s">
        <v>340</v>
      </c>
      <c r="B2" s="47"/>
      <c r="D2" s="51"/>
      <c r="F2" s="53" t="s">
        <v>124</v>
      </c>
      <c r="G2" s="53"/>
      <c r="I2" s="54"/>
      <c r="J2" s="52"/>
      <c r="K2" s="52" t="s">
        <v>341</v>
      </c>
      <c r="L2" s="52"/>
      <c r="M2" s="46"/>
    </row>
    <row r="3" spans="1:13" s="48" customFormat="1" ht="12">
      <c r="A3" s="52" t="s">
        <v>342</v>
      </c>
      <c r="E3" s="46"/>
      <c r="F3" s="46"/>
      <c r="G3" s="46"/>
      <c r="H3" s="46"/>
      <c r="I3" s="46"/>
      <c r="J3" s="52"/>
      <c r="K3" s="52" t="s">
        <v>49</v>
      </c>
      <c r="L3" s="52"/>
      <c r="M3" s="46"/>
    </row>
    <row r="4" spans="1:13" s="48" customFormat="1" ht="12">
      <c r="A4" s="46"/>
      <c r="B4" s="46"/>
      <c r="C4" s="46"/>
      <c r="F4" s="55" t="s">
        <v>358</v>
      </c>
      <c r="G4" s="46"/>
      <c r="I4" s="46"/>
      <c r="J4" s="46"/>
      <c r="K4" s="46"/>
      <c r="L4" s="46"/>
      <c r="M4" s="46"/>
    </row>
    <row r="5" spans="1:13" s="48" customFormat="1" ht="12">
      <c r="A5" s="46"/>
      <c r="B5" s="46"/>
      <c r="C5" s="46"/>
      <c r="F5" s="46" t="s">
        <v>125</v>
      </c>
      <c r="G5" s="46"/>
      <c r="I5" s="46"/>
      <c r="J5" s="46"/>
      <c r="K5" s="46"/>
      <c r="L5" s="46"/>
      <c r="M5" s="46"/>
    </row>
    <row r="6" spans="1:13" s="48" customFormat="1" ht="12">
      <c r="A6" s="46"/>
      <c r="B6" s="46"/>
      <c r="C6" s="46"/>
      <c r="E6" s="46"/>
      <c r="F6" s="46"/>
      <c r="G6" s="46"/>
      <c r="H6" s="46"/>
      <c r="I6" s="46"/>
      <c r="J6" s="46"/>
      <c r="K6" s="46"/>
      <c r="L6" s="46"/>
      <c r="M6" s="46"/>
    </row>
    <row r="7" spans="1:13" s="48" customFormat="1" ht="12">
      <c r="A7" s="46"/>
      <c r="B7" s="46"/>
      <c r="C7" s="56"/>
      <c r="D7" s="57" t="s">
        <v>41</v>
      </c>
      <c r="E7" s="58"/>
      <c r="F7" s="58"/>
      <c r="G7" s="58"/>
      <c r="H7" s="58"/>
      <c r="I7" s="54"/>
      <c r="J7" s="54"/>
      <c r="K7" s="54"/>
      <c r="L7" s="54"/>
      <c r="M7" s="46"/>
    </row>
    <row r="8" spans="1:13" s="48" customFormat="1" ht="12">
      <c r="A8" s="46"/>
      <c r="B8" s="46"/>
      <c r="C8" s="46"/>
      <c r="D8" s="59" t="s">
        <v>356</v>
      </c>
      <c r="E8" s="53"/>
      <c r="F8" s="53"/>
      <c r="G8" s="53"/>
      <c r="I8" s="54"/>
      <c r="J8" s="54"/>
      <c r="K8" s="54"/>
      <c r="L8" s="54"/>
      <c r="M8" s="46"/>
    </row>
    <row r="9" spans="1:13" s="48" customFormat="1" ht="7.5" customHeight="1">
      <c r="A9" s="60"/>
      <c r="B9" s="60"/>
      <c r="C9" s="46"/>
      <c r="E9" s="46"/>
      <c r="F9" s="46"/>
      <c r="G9" s="46"/>
      <c r="H9" s="46"/>
      <c r="I9" s="46"/>
      <c r="J9" s="46"/>
      <c r="M9" s="46"/>
    </row>
    <row r="10" spans="1:14" ht="12">
      <c r="A10" s="93" t="s">
        <v>359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0" ht="12">
      <c r="A11" s="62" t="s">
        <v>345</v>
      </c>
      <c r="B11" s="63"/>
      <c r="C11" s="94">
        <v>1273022</v>
      </c>
      <c r="D11" s="94"/>
      <c r="E11" s="94"/>
      <c r="F11" s="52" t="s">
        <v>344</v>
      </c>
      <c r="G11" s="64"/>
      <c r="H11" s="64"/>
      <c r="I11" s="64"/>
      <c r="J11" s="64"/>
    </row>
    <row r="12" spans="1:12" ht="12">
      <c r="A12" s="62" t="s">
        <v>355</v>
      </c>
      <c r="B12" s="63"/>
      <c r="C12" s="66"/>
      <c r="D12" s="95">
        <v>239579</v>
      </c>
      <c r="E12" s="95"/>
      <c r="F12" s="52" t="s">
        <v>344</v>
      </c>
      <c r="G12" s="64"/>
      <c r="H12" s="64"/>
      <c r="I12" s="114" t="s">
        <v>798</v>
      </c>
      <c r="J12" s="114"/>
      <c r="K12" s="114"/>
      <c r="L12" s="114"/>
    </row>
    <row r="13" spans="1:12" ht="12">
      <c r="A13" s="62" t="s">
        <v>42</v>
      </c>
      <c r="B13" s="61"/>
      <c r="C13" s="67"/>
      <c r="D13" s="68"/>
      <c r="E13" s="69"/>
      <c r="F13" s="70"/>
      <c r="G13" s="71"/>
      <c r="H13" s="71"/>
      <c r="I13" s="114"/>
      <c r="J13" s="114"/>
      <c r="K13" s="114"/>
      <c r="L13" s="114"/>
    </row>
    <row r="14" spans="1:14" ht="11.25" customHeight="1">
      <c r="A14" s="46"/>
      <c r="B14" s="52"/>
      <c r="C14" s="52"/>
      <c r="D14" s="46"/>
      <c r="E14" s="64"/>
      <c r="F14" s="64"/>
      <c r="G14" s="64"/>
      <c r="H14" s="66"/>
      <c r="I14" s="114"/>
      <c r="J14" s="114"/>
      <c r="K14" s="114"/>
      <c r="L14" s="114"/>
      <c r="M14" s="64"/>
      <c r="N14" s="61" t="s">
        <v>344</v>
      </c>
    </row>
    <row r="15" spans="1:14" ht="12.75" customHeight="1">
      <c r="A15" s="110" t="s">
        <v>126</v>
      </c>
      <c r="B15" s="110" t="s">
        <v>352</v>
      </c>
      <c r="C15" s="96" t="s">
        <v>357</v>
      </c>
      <c r="D15" s="96" t="s">
        <v>353</v>
      </c>
      <c r="E15" s="102" t="s">
        <v>616</v>
      </c>
      <c r="F15" s="103"/>
      <c r="G15" s="104"/>
      <c r="H15" s="96" t="s">
        <v>339</v>
      </c>
      <c r="I15" s="102" t="s">
        <v>617</v>
      </c>
      <c r="J15" s="108"/>
      <c r="K15" s="108"/>
      <c r="L15" s="99"/>
      <c r="M15" s="98" t="s">
        <v>354</v>
      </c>
      <c r="N15" s="99"/>
    </row>
    <row r="16" spans="1:14" s="72" customFormat="1" ht="38.25" customHeight="1">
      <c r="A16" s="111"/>
      <c r="B16" s="111"/>
      <c r="C16" s="111"/>
      <c r="D16" s="111"/>
      <c r="E16" s="105"/>
      <c r="F16" s="106"/>
      <c r="G16" s="107"/>
      <c r="H16" s="111"/>
      <c r="I16" s="100"/>
      <c r="J16" s="109"/>
      <c r="K16" s="109"/>
      <c r="L16" s="101"/>
      <c r="M16" s="100"/>
      <c r="N16" s="101"/>
    </row>
    <row r="17" spans="1:14" s="72" customFormat="1" ht="12.75" customHeight="1">
      <c r="A17" s="111"/>
      <c r="B17" s="111"/>
      <c r="C17" s="111"/>
      <c r="D17" s="111"/>
      <c r="E17" s="73" t="s">
        <v>347</v>
      </c>
      <c r="F17" s="73" t="s">
        <v>349</v>
      </c>
      <c r="G17" s="96" t="s">
        <v>351</v>
      </c>
      <c r="H17" s="111"/>
      <c r="I17" s="96" t="s">
        <v>347</v>
      </c>
      <c r="J17" s="96" t="s">
        <v>350</v>
      </c>
      <c r="K17" s="73" t="s">
        <v>349</v>
      </c>
      <c r="L17" s="96" t="s">
        <v>351</v>
      </c>
      <c r="M17" s="110" t="s">
        <v>343</v>
      </c>
      <c r="N17" s="96" t="s">
        <v>347</v>
      </c>
    </row>
    <row r="18" spans="1:14" s="72" customFormat="1" ht="11.25" customHeight="1">
      <c r="A18" s="97"/>
      <c r="B18" s="97"/>
      <c r="C18" s="97"/>
      <c r="D18" s="97"/>
      <c r="E18" s="74" t="s">
        <v>346</v>
      </c>
      <c r="F18" s="73" t="s">
        <v>348</v>
      </c>
      <c r="G18" s="97"/>
      <c r="H18" s="97"/>
      <c r="I18" s="97"/>
      <c r="J18" s="97"/>
      <c r="K18" s="73" t="s">
        <v>348</v>
      </c>
      <c r="L18" s="97"/>
      <c r="M18" s="97"/>
      <c r="N18" s="97"/>
    </row>
    <row r="19" spans="1:20" ht="12">
      <c r="A19" s="75">
        <v>1</v>
      </c>
      <c r="B19" s="75">
        <v>2</v>
      </c>
      <c r="C19" s="75">
        <v>3</v>
      </c>
      <c r="D19" s="75">
        <v>4</v>
      </c>
      <c r="E19" s="75">
        <v>5</v>
      </c>
      <c r="F19" s="75">
        <v>6</v>
      </c>
      <c r="G19" s="75">
        <v>7</v>
      </c>
      <c r="H19" s="75">
        <v>8</v>
      </c>
      <c r="I19" s="75">
        <v>9</v>
      </c>
      <c r="J19" s="75">
        <v>10</v>
      </c>
      <c r="K19" s="75">
        <v>11</v>
      </c>
      <c r="L19" s="75">
        <v>12</v>
      </c>
      <c r="M19" s="75">
        <v>13</v>
      </c>
      <c r="N19" s="75">
        <v>14</v>
      </c>
      <c r="O19" s="76"/>
      <c r="P19" s="76"/>
      <c r="Q19" s="76"/>
      <c r="R19" s="76"/>
      <c r="S19" s="76"/>
      <c r="T19" s="76"/>
    </row>
    <row r="20" spans="1:14" ht="17.25" customHeight="1">
      <c r="A20" s="91" t="s">
        <v>361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60">
      <c r="A21" s="77">
        <v>1</v>
      </c>
      <c r="B21" s="78" t="s">
        <v>362</v>
      </c>
      <c r="C21" s="78" t="s">
        <v>363</v>
      </c>
      <c r="D21" s="77" t="s">
        <v>364</v>
      </c>
      <c r="E21" s="79" t="s">
        <v>365</v>
      </c>
      <c r="F21" s="79">
        <v>30.64</v>
      </c>
      <c r="G21" s="79"/>
      <c r="H21" s="80" t="s">
        <v>366</v>
      </c>
      <c r="I21" s="81">
        <v>9212</v>
      </c>
      <c r="J21" s="79">
        <v>8817</v>
      </c>
      <c r="K21" s="79">
        <v>395</v>
      </c>
      <c r="L21" s="79" t="str">
        <f>IF(4.3162*0=0," ",TEXT(,ROUND((4.3162*0*1),2)))</f>
        <v> </v>
      </c>
      <c r="M21" s="79">
        <v>15.9</v>
      </c>
      <c r="N21" s="79">
        <v>68.63</v>
      </c>
    </row>
    <row r="22" spans="1:14" ht="72">
      <c r="A22" s="77">
        <v>2</v>
      </c>
      <c r="B22" s="78" t="s">
        <v>367</v>
      </c>
      <c r="C22" s="78" t="s">
        <v>368</v>
      </c>
      <c r="D22" s="77" t="s">
        <v>369</v>
      </c>
      <c r="E22" s="79" t="s">
        <v>370</v>
      </c>
      <c r="F22" s="79">
        <v>0.2</v>
      </c>
      <c r="G22" s="79"/>
      <c r="H22" s="80" t="s">
        <v>371</v>
      </c>
      <c r="I22" s="81">
        <v>345</v>
      </c>
      <c r="J22" s="79">
        <v>345</v>
      </c>
      <c r="K22" s="79"/>
      <c r="L22" s="79" t="str">
        <f>IF(0.302*0=0," ",TEXT(,ROUND((0.302*0*1),2)))</f>
        <v> </v>
      </c>
      <c r="M22" s="79">
        <v>9.1</v>
      </c>
      <c r="N22" s="79">
        <v>2.75</v>
      </c>
    </row>
    <row r="23" spans="1:14" ht="72">
      <c r="A23" s="77">
        <v>3</v>
      </c>
      <c r="B23" s="78" t="s">
        <v>372</v>
      </c>
      <c r="C23" s="78" t="s">
        <v>373</v>
      </c>
      <c r="D23" s="77" t="s">
        <v>364</v>
      </c>
      <c r="E23" s="79" t="s">
        <v>374</v>
      </c>
      <c r="F23" s="79" t="s">
        <v>375</v>
      </c>
      <c r="G23" s="79"/>
      <c r="H23" s="80" t="s">
        <v>376</v>
      </c>
      <c r="I23" s="81">
        <v>17437</v>
      </c>
      <c r="J23" s="79">
        <v>15562</v>
      </c>
      <c r="K23" s="79" t="s">
        <v>377</v>
      </c>
      <c r="L23" s="79" t="str">
        <f>IF(4.3162*0=0," ",TEXT(,ROUND((4.3162*0*1),2)))</f>
        <v> </v>
      </c>
      <c r="M23" s="79" t="s">
        <v>378</v>
      </c>
      <c r="N23" s="79" t="s">
        <v>379</v>
      </c>
    </row>
    <row r="24" spans="1:14" ht="60">
      <c r="A24" s="77">
        <v>4</v>
      </c>
      <c r="B24" s="78" t="s">
        <v>380</v>
      </c>
      <c r="C24" s="78" t="s">
        <v>381</v>
      </c>
      <c r="D24" s="77" t="s">
        <v>364</v>
      </c>
      <c r="E24" s="79" t="s">
        <v>382</v>
      </c>
      <c r="F24" s="79" t="s">
        <v>383</v>
      </c>
      <c r="G24" s="79"/>
      <c r="H24" s="80" t="s">
        <v>376</v>
      </c>
      <c r="I24" s="81">
        <v>5002</v>
      </c>
      <c r="J24" s="79">
        <v>3800</v>
      </c>
      <c r="K24" s="79" t="s">
        <v>384</v>
      </c>
      <c r="L24" s="79" t="str">
        <f>IF(4.3162*0=0," ",TEXT(,ROUND((4.3162*0*1),2)))</f>
        <v> </v>
      </c>
      <c r="M24" s="79" t="s">
        <v>385</v>
      </c>
      <c r="N24" s="79" t="s">
        <v>386</v>
      </c>
    </row>
    <row r="25" spans="1:14" ht="60">
      <c r="A25" s="77">
        <v>5</v>
      </c>
      <c r="B25" s="78" t="s">
        <v>387</v>
      </c>
      <c r="C25" s="78" t="s">
        <v>388</v>
      </c>
      <c r="D25" s="77" t="s">
        <v>389</v>
      </c>
      <c r="E25" s="79" t="s">
        <v>390</v>
      </c>
      <c r="F25" s="79" t="s">
        <v>391</v>
      </c>
      <c r="G25" s="79"/>
      <c r="H25" s="80" t="s">
        <v>376</v>
      </c>
      <c r="I25" s="81">
        <v>10392</v>
      </c>
      <c r="J25" s="79">
        <v>8373</v>
      </c>
      <c r="K25" s="79" t="s">
        <v>392</v>
      </c>
      <c r="L25" s="79" t="str">
        <f>IF(4.231*0=0," ",TEXT(,ROUND((4.231*0*1),2)))</f>
        <v> </v>
      </c>
      <c r="M25" s="79" t="s">
        <v>393</v>
      </c>
      <c r="N25" s="79" t="s">
        <v>394</v>
      </c>
    </row>
    <row r="26" spans="1:14" ht="60">
      <c r="A26" s="77">
        <v>6</v>
      </c>
      <c r="B26" s="78" t="s">
        <v>395</v>
      </c>
      <c r="C26" s="78" t="s">
        <v>396</v>
      </c>
      <c r="D26" s="77" t="s">
        <v>397</v>
      </c>
      <c r="E26" s="79" t="s">
        <v>398</v>
      </c>
      <c r="F26" s="79">
        <v>10.37</v>
      </c>
      <c r="G26" s="79"/>
      <c r="H26" s="80" t="s">
        <v>399</v>
      </c>
      <c r="I26" s="81">
        <v>806</v>
      </c>
      <c r="J26" s="79">
        <v>806</v>
      </c>
      <c r="K26" s="79"/>
      <c r="L26" s="79" t="str">
        <f>IF(0.02*0=0," ",TEXT(,ROUND((0.02*0*1),2)))</f>
        <v> </v>
      </c>
      <c r="M26" s="79">
        <v>309.3</v>
      </c>
      <c r="N26" s="79">
        <v>6.19</v>
      </c>
    </row>
    <row r="27" spans="1:14" ht="60">
      <c r="A27" s="77">
        <v>7</v>
      </c>
      <c r="B27" s="78" t="s">
        <v>400</v>
      </c>
      <c r="C27" s="78" t="s">
        <v>401</v>
      </c>
      <c r="D27" s="77">
        <v>2.06</v>
      </c>
      <c r="E27" s="79" t="s">
        <v>402</v>
      </c>
      <c r="F27" s="79" t="s">
        <v>403</v>
      </c>
      <c r="G27" s="79"/>
      <c r="H27" s="80" t="s">
        <v>404</v>
      </c>
      <c r="I27" s="81">
        <v>4095</v>
      </c>
      <c r="J27" s="79">
        <v>2468</v>
      </c>
      <c r="K27" s="79" t="s">
        <v>405</v>
      </c>
      <c r="L27" s="79" t="str">
        <f>IF(2.06*0=0," ",TEXT(,ROUND((2.06*0*1),2)))</f>
        <v> </v>
      </c>
      <c r="M27" s="79" t="s">
        <v>406</v>
      </c>
      <c r="N27" s="79" t="s">
        <v>407</v>
      </c>
    </row>
    <row r="28" spans="1:14" ht="72">
      <c r="A28" s="77">
        <v>8</v>
      </c>
      <c r="B28" s="78" t="s">
        <v>408</v>
      </c>
      <c r="C28" s="78" t="s">
        <v>409</v>
      </c>
      <c r="D28" s="77" t="s">
        <v>410</v>
      </c>
      <c r="E28" s="79" t="s">
        <v>411</v>
      </c>
      <c r="F28" s="79" t="s">
        <v>412</v>
      </c>
      <c r="G28" s="79"/>
      <c r="H28" s="80" t="s">
        <v>413</v>
      </c>
      <c r="I28" s="81">
        <v>461</v>
      </c>
      <c r="J28" s="79">
        <v>461</v>
      </c>
      <c r="K28" s="79"/>
      <c r="L28" s="79" t="str">
        <f>IF(0.038*0=0," ",TEXT(,ROUND((0.038*0*1),2)))</f>
        <v> </v>
      </c>
      <c r="M28" s="79" t="s">
        <v>414</v>
      </c>
      <c r="N28" s="79" t="s">
        <v>415</v>
      </c>
    </row>
    <row r="29" spans="1:14" ht="72">
      <c r="A29" s="77">
        <v>9</v>
      </c>
      <c r="B29" s="78" t="s">
        <v>416</v>
      </c>
      <c r="C29" s="78" t="s">
        <v>417</v>
      </c>
      <c r="D29" s="77" t="s">
        <v>418</v>
      </c>
      <c r="E29" s="79" t="s">
        <v>419</v>
      </c>
      <c r="F29" s="79"/>
      <c r="G29" s="79"/>
      <c r="H29" s="80" t="s">
        <v>371</v>
      </c>
      <c r="I29" s="81">
        <v>773</v>
      </c>
      <c r="J29" s="79">
        <v>773</v>
      </c>
      <c r="K29" s="79"/>
      <c r="L29" s="79" t="str">
        <f>IF(0.528*0=0," ",TEXT(,ROUND((0.528*0*1),2)))</f>
        <v> </v>
      </c>
      <c r="M29" s="79">
        <v>11.04</v>
      </c>
      <c r="N29" s="79">
        <v>5.83</v>
      </c>
    </row>
    <row r="30" spans="1:14" ht="72">
      <c r="A30" s="77">
        <v>10</v>
      </c>
      <c r="B30" s="78" t="s">
        <v>420</v>
      </c>
      <c r="C30" s="78" t="s">
        <v>421</v>
      </c>
      <c r="D30" s="77">
        <v>1</v>
      </c>
      <c r="E30" s="79">
        <v>42.98</v>
      </c>
      <c r="F30" s="79">
        <v>42.98</v>
      </c>
      <c r="G30" s="79"/>
      <c r="H30" s="80" t="s">
        <v>422</v>
      </c>
      <c r="I30" s="81">
        <v>43</v>
      </c>
      <c r="J30" s="79"/>
      <c r="K30" s="79">
        <v>43</v>
      </c>
      <c r="L30" s="79" t="str">
        <f>IF(1*0=0," ",TEXT(,ROUND((1*0*1),2)))</f>
        <v> </v>
      </c>
      <c r="M30" s="79"/>
      <c r="N30" s="79"/>
    </row>
    <row r="31" spans="1:14" ht="72">
      <c r="A31" s="77">
        <v>11</v>
      </c>
      <c r="B31" s="78" t="s">
        <v>423</v>
      </c>
      <c r="C31" s="78" t="s">
        <v>424</v>
      </c>
      <c r="D31" s="77" t="s">
        <v>425</v>
      </c>
      <c r="E31" s="79">
        <v>3.28</v>
      </c>
      <c r="F31" s="79">
        <v>3.28</v>
      </c>
      <c r="G31" s="79"/>
      <c r="H31" s="80" t="s">
        <v>426</v>
      </c>
      <c r="I31" s="81">
        <v>2774</v>
      </c>
      <c r="J31" s="79"/>
      <c r="K31" s="79">
        <v>2774</v>
      </c>
      <c r="L31" s="79" t="str">
        <f>IF(73.14*0=0," ",TEXT(,ROUND((73.14*0*1),2)))</f>
        <v> </v>
      </c>
      <c r="M31" s="79"/>
      <c r="N31" s="79"/>
    </row>
    <row r="32" spans="1:14" ht="84">
      <c r="A32" s="77">
        <v>12</v>
      </c>
      <c r="B32" s="78" t="s">
        <v>427</v>
      </c>
      <c r="C32" s="78" t="s">
        <v>428</v>
      </c>
      <c r="D32" s="77">
        <v>74.14</v>
      </c>
      <c r="E32" s="79">
        <v>11.42</v>
      </c>
      <c r="F32" s="79">
        <v>11.42</v>
      </c>
      <c r="G32" s="79"/>
      <c r="H32" s="80" t="s">
        <v>429</v>
      </c>
      <c r="I32" s="81">
        <v>8106</v>
      </c>
      <c r="J32" s="79"/>
      <c r="K32" s="79">
        <v>8106</v>
      </c>
      <c r="L32" s="79" t="str">
        <f>IF(74.14*0=0," ",TEXT(,ROUND((74.14*0*1),2)))</f>
        <v> </v>
      </c>
      <c r="M32" s="79"/>
      <c r="N32" s="79"/>
    </row>
    <row r="33" spans="1:14" ht="24">
      <c r="A33" s="89" t="s">
        <v>430</v>
      </c>
      <c r="B33" s="89"/>
      <c r="C33" s="89"/>
      <c r="D33" s="89"/>
      <c r="E33" s="89"/>
      <c r="F33" s="89"/>
      <c r="G33" s="89"/>
      <c r="H33" s="89"/>
      <c r="I33" s="81">
        <v>4424</v>
      </c>
      <c r="J33" s="79">
        <v>2517</v>
      </c>
      <c r="K33" s="79" t="s">
        <v>431</v>
      </c>
      <c r="L33" s="79"/>
      <c r="M33" s="79"/>
      <c r="N33" s="79" t="s">
        <v>432</v>
      </c>
    </row>
    <row r="34" spans="1:14" ht="24">
      <c r="A34" s="89" t="s">
        <v>433</v>
      </c>
      <c r="B34" s="89"/>
      <c r="C34" s="89"/>
      <c r="D34" s="89"/>
      <c r="E34" s="89"/>
      <c r="F34" s="89"/>
      <c r="G34" s="89"/>
      <c r="H34" s="89"/>
      <c r="I34" s="81">
        <v>59446</v>
      </c>
      <c r="J34" s="79">
        <v>41405</v>
      </c>
      <c r="K34" s="79" t="s">
        <v>434</v>
      </c>
      <c r="L34" s="79"/>
      <c r="M34" s="79"/>
      <c r="N34" s="79" t="s">
        <v>432</v>
      </c>
    </row>
    <row r="35" spans="1:14" ht="12">
      <c r="A35" s="89" t="s">
        <v>435</v>
      </c>
      <c r="B35" s="89"/>
      <c r="C35" s="89"/>
      <c r="D35" s="89"/>
      <c r="E35" s="89"/>
      <c r="F35" s="89"/>
      <c r="G35" s="89"/>
      <c r="H35" s="89"/>
      <c r="I35" s="81">
        <v>31930</v>
      </c>
      <c r="J35" s="79"/>
      <c r="K35" s="79"/>
      <c r="L35" s="79"/>
      <c r="M35" s="79"/>
      <c r="N35" s="79"/>
    </row>
    <row r="36" spans="1:14" ht="12">
      <c r="A36" s="89" t="s">
        <v>436</v>
      </c>
      <c r="B36" s="89"/>
      <c r="C36" s="89"/>
      <c r="D36" s="89"/>
      <c r="E36" s="89"/>
      <c r="F36" s="89"/>
      <c r="G36" s="89"/>
      <c r="H36" s="89"/>
      <c r="I36" s="81">
        <v>21777</v>
      </c>
      <c r="J36" s="79"/>
      <c r="K36" s="79"/>
      <c r="L36" s="79"/>
      <c r="M36" s="79"/>
      <c r="N36" s="79"/>
    </row>
    <row r="37" spans="1:14" ht="12">
      <c r="A37" s="91" t="s">
        <v>437</v>
      </c>
      <c r="B37" s="91"/>
      <c r="C37" s="91"/>
      <c r="D37" s="91"/>
      <c r="E37" s="91"/>
      <c r="F37" s="91"/>
      <c r="G37" s="91"/>
      <c r="H37" s="91"/>
      <c r="I37" s="81"/>
      <c r="J37" s="79"/>
      <c r="K37" s="79"/>
      <c r="L37" s="79"/>
      <c r="M37" s="79"/>
      <c r="N37" s="79"/>
    </row>
    <row r="38" spans="1:14" ht="24" customHeight="1">
      <c r="A38" s="89" t="s">
        <v>438</v>
      </c>
      <c r="B38" s="89"/>
      <c r="C38" s="89"/>
      <c r="D38" s="89"/>
      <c r="E38" s="89"/>
      <c r="F38" s="89"/>
      <c r="G38" s="89"/>
      <c r="H38" s="89"/>
      <c r="I38" s="81">
        <v>28724</v>
      </c>
      <c r="J38" s="79"/>
      <c r="K38" s="79"/>
      <c r="L38" s="79"/>
      <c r="M38" s="79"/>
      <c r="N38" s="79" t="s">
        <v>439</v>
      </c>
    </row>
    <row r="39" spans="1:14" ht="24">
      <c r="A39" s="89" t="s">
        <v>440</v>
      </c>
      <c r="B39" s="89"/>
      <c r="C39" s="89"/>
      <c r="D39" s="89"/>
      <c r="E39" s="89"/>
      <c r="F39" s="89"/>
      <c r="G39" s="89"/>
      <c r="H39" s="89"/>
      <c r="I39" s="81">
        <v>72571</v>
      </c>
      <c r="J39" s="79"/>
      <c r="K39" s="79"/>
      <c r="L39" s="79"/>
      <c r="M39" s="79"/>
      <c r="N39" s="79" t="s">
        <v>441</v>
      </c>
    </row>
    <row r="40" spans="1:14" ht="24" customHeight="1">
      <c r="A40" s="89" t="s">
        <v>442</v>
      </c>
      <c r="B40" s="89"/>
      <c r="C40" s="89"/>
      <c r="D40" s="89"/>
      <c r="E40" s="89"/>
      <c r="F40" s="89"/>
      <c r="G40" s="89"/>
      <c r="H40" s="89"/>
      <c r="I40" s="81">
        <v>935</v>
      </c>
      <c r="J40" s="79"/>
      <c r="K40" s="79"/>
      <c r="L40" s="79"/>
      <c r="M40" s="79"/>
      <c r="N40" s="79" t="s">
        <v>415</v>
      </c>
    </row>
    <row r="41" spans="1:14" ht="12">
      <c r="A41" s="89" t="s">
        <v>443</v>
      </c>
      <c r="B41" s="89"/>
      <c r="C41" s="89"/>
      <c r="D41" s="89"/>
      <c r="E41" s="89"/>
      <c r="F41" s="89"/>
      <c r="G41" s="89"/>
      <c r="H41" s="89"/>
      <c r="I41" s="81">
        <v>2817</v>
      </c>
      <c r="J41" s="79"/>
      <c r="K41" s="79"/>
      <c r="L41" s="79"/>
      <c r="M41" s="79"/>
      <c r="N41" s="79"/>
    </row>
    <row r="42" spans="1:14" ht="12">
      <c r="A42" s="89" t="s">
        <v>444</v>
      </c>
      <c r="B42" s="89"/>
      <c r="C42" s="89"/>
      <c r="D42" s="89"/>
      <c r="E42" s="89"/>
      <c r="F42" s="89"/>
      <c r="G42" s="89"/>
      <c r="H42" s="89"/>
      <c r="I42" s="81">
        <v>8106</v>
      </c>
      <c r="J42" s="79"/>
      <c r="K42" s="79"/>
      <c r="L42" s="79"/>
      <c r="M42" s="79"/>
      <c r="N42" s="79"/>
    </row>
    <row r="43" spans="1:14" ht="24">
      <c r="A43" s="89" t="s">
        <v>445</v>
      </c>
      <c r="B43" s="89"/>
      <c r="C43" s="89"/>
      <c r="D43" s="89"/>
      <c r="E43" s="89"/>
      <c r="F43" s="89"/>
      <c r="G43" s="89"/>
      <c r="H43" s="89"/>
      <c r="I43" s="81">
        <v>113153</v>
      </c>
      <c r="J43" s="79"/>
      <c r="K43" s="79"/>
      <c r="L43" s="79"/>
      <c r="M43" s="79"/>
      <c r="N43" s="79" t="s">
        <v>432</v>
      </c>
    </row>
    <row r="44" spans="1:14" ht="12">
      <c r="A44" s="89" t="s">
        <v>446</v>
      </c>
      <c r="B44" s="89"/>
      <c r="C44" s="89"/>
      <c r="D44" s="89"/>
      <c r="E44" s="89"/>
      <c r="F44" s="89"/>
      <c r="G44" s="89"/>
      <c r="H44" s="89"/>
      <c r="I44" s="81"/>
      <c r="J44" s="79"/>
      <c r="K44" s="79"/>
      <c r="L44" s="79"/>
      <c r="M44" s="79"/>
      <c r="N44" s="79"/>
    </row>
    <row r="45" spans="1:14" ht="12">
      <c r="A45" s="89" t="s">
        <v>447</v>
      </c>
      <c r="B45" s="89"/>
      <c r="C45" s="89"/>
      <c r="D45" s="89"/>
      <c r="E45" s="89"/>
      <c r="F45" s="89"/>
      <c r="G45" s="89"/>
      <c r="H45" s="89"/>
      <c r="I45" s="81">
        <v>18041</v>
      </c>
      <c r="J45" s="79"/>
      <c r="K45" s="79"/>
      <c r="L45" s="79"/>
      <c r="M45" s="79"/>
      <c r="N45" s="79"/>
    </row>
    <row r="46" spans="1:14" ht="12">
      <c r="A46" s="89" t="s">
        <v>448</v>
      </c>
      <c r="B46" s="89"/>
      <c r="C46" s="89"/>
      <c r="D46" s="89"/>
      <c r="E46" s="89"/>
      <c r="F46" s="89"/>
      <c r="G46" s="89"/>
      <c r="H46" s="89"/>
      <c r="I46" s="81">
        <v>42886</v>
      </c>
      <c r="J46" s="79"/>
      <c r="K46" s="79"/>
      <c r="L46" s="79"/>
      <c r="M46" s="79"/>
      <c r="N46" s="79"/>
    </row>
    <row r="47" spans="1:14" ht="12">
      <c r="A47" s="89" t="s">
        <v>449</v>
      </c>
      <c r="B47" s="89"/>
      <c r="C47" s="89"/>
      <c r="D47" s="89"/>
      <c r="E47" s="89"/>
      <c r="F47" s="89"/>
      <c r="G47" s="89"/>
      <c r="H47" s="89"/>
      <c r="I47" s="81">
        <v>31930</v>
      </c>
      <c r="J47" s="79"/>
      <c r="K47" s="79"/>
      <c r="L47" s="79"/>
      <c r="M47" s="79"/>
      <c r="N47" s="79"/>
    </row>
    <row r="48" spans="1:14" ht="12">
      <c r="A48" s="89" t="s">
        <v>450</v>
      </c>
      <c r="B48" s="89"/>
      <c r="C48" s="89"/>
      <c r="D48" s="89"/>
      <c r="E48" s="89"/>
      <c r="F48" s="89"/>
      <c r="G48" s="89"/>
      <c r="H48" s="89"/>
      <c r="I48" s="81">
        <v>21777</v>
      </c>
      <c r="J48" s="79"/>
      <c r="K48" s="79"/>
      <c r="L48" s="79"/>
      <c r="M48" s="79"/>
      <c r="N48" s="79"/>
    </row>
    <row r="49" spans="1:14" ht="24">
      <c r="A49" s="91" t="s">
        <v>451</v>
      </c>
      <c r="B49" s="91"/>
      <c r="C49" s="91"/>
      <c r="D49" s="91"/>
      <c r="E49" s="91"/>
      <c r="F49" s="91"/>
      <c r="G49" s="91"/>
      <c r="H49" s="91"/>
      <c r="I49" s="81">
        <v>113153</v>
      </c>
      <c r="J49" s="79"/>
      <c r="K49" s="79"/>
      <c r="L49" s="79"/>
      <c r="M49" s="79"/>
      <c r="N49" s="79" t="s">
        <v>432</v>
      </c>
    </row>
    <row r="50" spans="1:14" ht="17.25" customHeight="1">
      <c r="A50" s="91" t="s">
        <v>452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ht="108">
      <c r="A51" s="77">
        <v>13</v>
      </c>
      <c r="B51" s="78" t="s">
        <v>453</v>
      </c>
      <c r="C51" s="78" t="s">
        <v>454</v>
      </c>
      <c r="D51" s="77">
        <v>8.286</v>
      </c>
      <c r="E51" s="79" t="s">
        <v>455</v>
      </c>
      <c r="F51" s="79" t="s">
        <v>456</v>
      </c>
      <c r="G51" s="79">
        <v>2062.26</v>
      </c>
      <c r="H51" s="80" t="s">
        <v>457</v>
      </c>
      <c r="I51" s="81">
        <v>99053</v>
      </c>
      <c r="J51" s="79">
        <v>31387</v>
      </c>
      <c r="K51" s="79" t="s">
        <v>458</v>
      </c>
      <c r="L51" s="79" t="str">
        <f>IF(8.286*2062.26=0," ",TEXT(,ROUND((8.286*2062.26*3.71),2)))</f>
        <v>63396,06</v>
      </c>
      <c r="M51" s="79" t="s">
        <v>459</v>
      </c>
      <c r="N51" s="79" t="s">
        <v>460</v>
      </c>
    </row>
    <row r="52" spans="1:14" ht="17.25" customHeight="1">
      <c r="A52" s="92" t="s">
        <v>461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</row>
    <row r="53" spans="1:14" ht="120">
      <c r="A53" s="77">
        <v>14</v>
      </c>
      <c r="B53" s="78" t="s">
        <v>462</v>
      </c>
      <c r="C53" s="78" t="s">
        <v>463</v>
      </c>
      <c r="D53" s="77" t="s">
        <v>464</v>
      </c>
      <c r="E53" s="79" t="s">
        <v>465</v>
      </c>
      <c r="F53" s="79">
        <v>99.76</v>
      </c>
      <c r="G53" s="79">
        <v>4013.93</v>
      </c>
      <c r="H53" s="80" t="s">
        <v>466</v>
      </c>
      <c r="I53" s="81">
        <v>16210</v>
      </c>
      <c r="J53" s="79">
        <v>7435</v>
      </c>
      <c r="K53" s="79">
        <v>364</v>
      </c>
      <c r="L53" s="79" t="str">
        <f>IF(0.322*4013.93=0," ",TEXT(,ROUND((0.322*4013.93*6.51),2)))</f>
        <v>8414,08</v>
      </c>
      <c r="M53" s="79">
        <v>164.45</v>
      </c>
      <c r="N53" s="79">
        <v>52.95</v>
      </c>
    </row>
    <row r="54" spans="1:14" ht="72">
      <c r="A54" s="77">
        <v>15</v>
      </c>
      <c r="B54" s="78" t="s">
        <v>467</v>
      </c>
      <c r="C54" s="78" t="s">
        <v>468</v>
      </c>
      <c r="D54" s="77">
        <v>-0.3413</v>
      </c>
      <c r="E54" s="79">
        <v>1784</v>
      </c>
      <c r="F54" s="79"/>
      <c r="G54" s="79">
        <v>1784</v>
      </c>
      <c r="H54" s="80" t="s">
        <v>469</v>
      </c>
      <c r="I54" s="81">
        <v>-5722</v>
      </c>
      <c r="J54" s="79"/>
      <c r="K54" s="79"/>
      <c r="L54" s="79" t="str">
        <f>IF(-0.3413*1784=0," ",TEXT(,ROUND((-0.3413*1784*9.396),2)))</f>
        <v>-5721,03</v>
      </c>
      <c r="M54" s="79"/>
      <c r="N54" s="79"/>
    </row>
    <row r="55" spans="1:14" ht="60">
      <c r="A55" s="77">
        <v>16</v>
      </c>
      <c r="B55" s="78" t="s">
        <v>470</v>
      </c>
      <c r="C55" s="78" t="s">
        <v>471</v>
      </c>
      <c r="D55" s="77">
        <v>0.41</v>
      </c>
      <c r="E55" s="79">
        <v>1320</v>
      </c>
      <c r="F55" s="79"/>
      <c r="G55" s="79">
        <v>1320</v>
      </c>
      <c r="H55" s="80" t="s">
        <v>472</v>
      </c>
      <c r="I55" s="81">
        <v>2248</v>
      </c>
      <c r="J55" s="79"/>
      <c r="K55" s="79"/>
      <c r="L55" s="79" t="str">
        <f>IF(0.41*1320=0," ",TEXT(,ROUND((0.41*1320*4.156),2)))</f>
        <v>2249,23</v>
      </c>
      <c r="M55" s="79"/>
      <c r="N55" s="79"/>
    </row>
    <row r="56" spans="1:14" ht="60">
      <c r="A56" s="77">
        <v>17</v>
      </c>
      <c r="B56" s="78" t="s">
        <v>473</v>
      </c>
      <c r="C56" s="78" t="s">
        <v>474</v>
      </c>
      <c r="D56" s="77">
        <v>0.215</v>
      </c>
      <c r="E56" s="79">
        <v>1700</v>
      </c>
      <c r="F56" s="79"/>
      <c r="G56" s="79">
        <v>1700</v>
      </c>
      <c r="H56" s="80" t="s">
        <v>475</v>
      </c>
      <c r="I56" s="81">
        <v>1689</v>
      </c>
      <c r="J56" s="79"/>
      <c r="K56" s="79"/>
      <c r="L56" s="79" t="str">
        <f>IF(0.215*1700=0," ",TEXT(,ROUND((0.215*1700*4.615),2)))</f>
        <v>1686,78</v>
      </c>
      <c r="M56" s="79"/>
      <c r="N56" s="79"/>
    </row>
    <row r="57" spans="1:14" ht="60">
      <c r="A57" s="77">
        <v>18</v>
      </c>
      <c r="B57" s="78" t="s">
        <v>476</v>
      </c>
      <c r="C57" s="78" t="s">
        <v>477</v>
      </c>
      <c r="D57" s="77">
        <v>0.881</v>
      </c>
      <c r="E57" s="79">
        <v>1375</v>
      </c>
      <c r="F57" s="79"/>
      <c r="G57" s="79">
        <v>1375</v>
      </c>
      <c r="H57" s="80" t="s">
        <v>478</v>
      </c>
      <c r="I57" s="81">
        <v>4832</v>
      </c>
      <c r="J57" s="79"/>
      <c r="K57" s="79"/>
      <c r="L57" s="79" t="str">
        <f>IF(0.881*1375=0," ",TEXT(,ROUND((0.881*1375*3.99),2)))</f>
        <v>4833,39</v>
      </c>
      <c r="M57" s="79"/>
      <c r="N57" s="79"/>
    </row>
    <row r="58" spans="1:14" ht="120">
      <c r="A58" s="77">
        <v>19</v>
      </c>
      <c r="B58" s="78" t="s">
        <v>479</v>
      </c>
      <c r="C58" s="78" t="s">
        <v>480</v>
      </c>
      <c r="D58" s="77" t="s">
        <v>481</v>
      </c>
      <c r="E58" s="79" t="s">
        <v>482</v>
      </c>
      <c r="F58" s="79">
        <v>11.99</v>
      </c>
      <c r="G58" s="79">
        <v>4743.53</v>
      </c>
      <c r="H58" s="80" t="s">
        <v>483</v>
      </c>
      <c r="I58" s="81">
        <v>15484</v>
      </c>
      <c r="J58" s="79">
        <v>2764</v>
      </c>
      <c r="K58" s="79">
        <v>103</v>
      </c>
      <c r="L58" s="79" t="str">
        <f>IF(0.719*4743.53=0," ",TEXT(,ROUND((0.719*4743.53*3.7),2)))</f>
        <v>12619,21</v>
      </c>
      <c r="M58" s="79">
        <v>28.635</v>
      </c>
      <c r="N58" s="79">
        <v>20.59</v>
      </c>
    </row>
    <row r="59" spans="1:14" ht="60">
      <c r="A59" s="77">
        <v>20</v>
      </c>
      <c r="B59" s="78" t="s">
        <v>484</v>
      </c>
      <c r="C59" s="78" t="s">
        <v>485</v>
      </c>
      <c r="D59" s="77">
        <v>-0.302</v>
      </c>
      <c r="E59" s="79">
        <v>11200</v>
      </c>
      <c r="F59" s="79"/>
      <c r="G59" s="79">
        <v>11200</v>
      </c>
      <c r="H59" s="80" t="s">
        <v>486</v>
      </c>
      <c r="I59" s="81">
        <v>-12537</v>
      </c>
      <c r="J59" s="79"/>
      <c r="K59" s="79"/>
      <c r="L59" s="79" t="str">
        <f>IF(-0.302*11200=0," ",TEXT(,ROUND((-0.302*11200*3.707),2)))</f>
        <v>-12538,56</v>
      </c>
      <c r="M59" s="79"/>
      <c r="N59" s="79"/>
    </row>
    <row r="60" spans="1:14" ht="72">
      <c r="A60" s="77">
        <v>21</v>
      </c>
      <c r="B60" s="78" t="s">
        <v>487</v>
      </c>
      <c r="C60" s="78" t="s">
        <v>488</v>
      </c>
      <c r="D60" s="77" t="s">
        <v>489</v>
      </c>
      <c r="E60" s="79">
        <v>12276.61</v>
      </c>
      <c r="F60" s="79"/>
      <c r="G60" s="79">
        <v>12276.61</v>
      </c>
      <c r="H60" s="80" t="s">
        <v>490</v>
      </c>
      <c r="I60" s="81">
        <v>20023</v>
      </c>
      <c r="J60" s="79"/>
      <c r="K60" s="79"/>
      <c r="L60" s="79" t="str">
        <f>IF(0.430322*12276.61=0," ",TEXT(,ROUND((0.430322*12276.61*3.79),2)))</f>
        <v>20022,17</v>
      </c>
      <c r="M60" s="79"/>
      <c r="N60" s="79"/>
    </row>
    <row r="61" spans="1:14" ht="108">
      <c r="A61" s="77">
        <v>22</v>
      </c>
      <c r="B61" s="78" t="s">
        <v>491</v>
      </c>
      <c r="C61" s="78" t="s">
        <v>492</v>
      </c>
      <c r="D61" s="77">
        <v>33</v>
      </c>
      <c r="E61" s="79" t="s">
        <v>493</v>
      </c>
      <c r="F61" s="79">
        <v>2.96</v>
      </c>
      <c r="G61" s="79">
        <v>4.09</v>
      </c>
      <c r="H61" s="80" t="s">
        <v>494</v>
      </c>
      <c r="I61" s="81">
        <v>9693</v>
      </c>
      <c r="J61" s="79">
        <v>8176</v>
      </c>
      <c r="K61" s="79">
        <v>803</v>
      </c>
      <c r="L61" s="79" t="str">
        <f>IF(33*4.09=0," ",TEXT(,ROUND((33*4.09*5.29),2)))</f>
        <v>713,99</v>
      </c>
      <c r="M61" s="79">
        <v>1.679</v>
      </c>
      <c r="N61" s="79">
        <v>55.41</v>
      </c>
    </row>
    <row r="62" spans="1:14" ht="36">
      <c r="A62" s="77">
        <v>23</v>
      </c>
      <c r="B62" s="78" t="s">
        <v>495</v>
      </c>
      <c r="C62" s="78" t="s">
        <v>496</v>
      </c>
      <c r="D62" s="77">
        <v>33</v>
      </c>
      <c r="E62" s="79">
        <v>97.98</v>
      </c>
      <c r="F62" s="79"/>
      <c r="G62" s="79">
        <v>97.98</v>
      </c>
      <c r="H62" s="80" t="s">
        <v>497</v>
      </c>
      <c r="I62" s="81">
        <v>18040</v>
      </c>
      <c r="J62" s="79"/>
      <c r="K62" s="79"/>
      <c r="L62" s="79" t="str">
        <f>IF(33*97.98=0," ",TEXT(,ROUND((33*97.98*5.58),2)))</f>
        <v>18042,04</v>
      </c>
      <c r="M62" s="79"/>
      <c r="N62" s="79"/>
    </row>
    <row r="63" spans="1:14" ht="60">
      <c r="A63" s="77">
        <v>24</v>
      </c>
      <c r="B63" s="78" t="s">
        <v>498</v>
      </c>
      <c r="C63" s="78" t="s">
        <v>499</v>
      </c>
      <c r="D63" s="77" t="s">
        <v>500</v>
      </c>
      <c r="E63" s="79" t="s">
        <v>501</v>
      </c>
      <c r="F63" s="79" t="s">
        <v>502</v>
      </c>
      <c r="G63" s="79">
        <v>6310.52</v>
      </c>
      <c r="H63" s="80" t="s">
        <v>503</v>
      </c>
      <c r="I63" s="81">
        <v>5476</v>
      </c>
      <c r="J63" s="79">
        <v>790</v>
      </c>
      <c r="K63" s="79" t="s">
        <v>504</v>
      </c>
      <c r="L63" s="79" t="str">
        <f>IF(0.12036*6310.52=0," ",TEXT(,ROUND((0.12036*6310.52*6.14),2)))</f>
        <v>4663,54</v>
      </c>
      <c r="M63" s="79" t="s">
        <v>505</v>
      </c>
      <c r="N63" s="79" t="s">
        <v>506</v>
      </c>
    </row>
    <row r="64" spans="1:14" ht="96">
      <c r="A64" s="77">
        <v>25</v>
      </c>
      <c r="B64" s="78" t="s">
        <v>507</v>
      </c>
      <c r="C64" s="78" t="s">
        <v>508</v>
      </c>
      <c r="D64" s="77">
        <v>-0.118</v>
      </c>
      <c r="E64" s="79">
        <v>6102</v>
      </c>
      <c r="F64" s="79"/>
      <c r="G64" s="79">
        <v>6102</v>
      </c>
      <c r="H64" s="80" t="s">
        <v>509</v>
      </c>
      <c r="I64" s="81">
        <v>-4429</v>
      </c>
      <c r="J64" s="79"/>
      <c r="K64" s="79"/>
      <c r="L64" s="79" t="str">
        <f>IF(-0.118*6102=0," ",TEXT(,ROUND((-0.118*6102*6.152),2)))</f>
        <v>-4429,66</v>
      </c>
      <c r="M64" s="79"/>
      <c r="N64" s="79"/>
    </row>
    <row r="65" spans="1:14" ht="48">
      <c r="A65" s="77">
        <v>26</v>
      </c>
      <c r="B65" s="78" t="s">
        <v>510</v>
      </c>
      <c r="C65" s="78" t="s">
        <v>511</v>
      </c>
      <c r="D65" s="77">
        <v>88.5</v>
      </c>
      <c r="E65" s="79">
        <v>7.5</v>
      </c>
      <c r="F65" s="79"/>
      <c r="G65" s="79">
        <v>7.5</v>
      </c>
      <c r="H65" s="80" t="s">
        <v>512</v>
      </c>
      <c r="I65" s="81">
        <v>4627</v>
      </c>
      <c r="J65" s="79"/>
      <c r="K65" s="79"/>
      <c r="L65" s="79" t="str">
        <f>IF(88.5*7.5=0," ",TEXT(,ROUND((88.5*7.5*6.968),2)))</f>
        <v>4625,01</v>
      </c>
      <c r="M65" s="79"/>
      <c r="N65" s="79"/>
    </row>
    <row r="66" spans="1:14" ht="17.25" customHeight="1">
      <c r="A66" s="92" t="s">
        <v>513</v>
      </c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</row>
    <row r="67" spans="1:14" ht="60">
      <c r="A67" s="77">
        <v>27</v>
      </c>
      <c r="B67" s="78" t="s">
        <v>514</v>
      </c>
      <c r="C67" s="78" t="s">
        <v>515</v>
      </c>
      <c r="D67" s="77" t="s">
        <v>516</v>
      </c>
      <c r="E67" s="79" t="s">
        <v>517</v>
      </c>
      <c r="F67" s="79" t="s">
        <v>518</v>
      </c>
      <c r="G67" s="79">
        <v>2198.68</v>
      </c>
      <c r="H67" s="80" t="s">
        <v>519</v>
      </c>
      <c r="I67" s="81">
        <v>31527</v>
      </c>
      <c r="J67" s="79">
        <v>7863</v>
      </c>
      <c r="K67" s="79" t="s">
        <v>520</v>
      </c>
      <c r="L67" s="79" t="str">
        <f>IF(1.89*2198.68=0," ",TEXT(,ROUND((1.89*2198.68*5.51),2)))</f>
        <v>22896,83</v>
      </c>
      <c r="M67" s="79" t="s">
        <v>521</v>
      </c>
      <c r="N67" s="79" t="s">
        <v>522</v>
      </c>
    </row>
    <row r="68" spans="1:14" ht="72">
      <c r="A68" s="77">
        <v>28</v>
      </c>
      <c r="B68" s="78" t="s">
        <v>523</v>
      </c>
      <c r="C68" s="78" t="s">
        <v>524</v>
      </c>
      <c r="D68" s="77" t="s">
        <v>525</v>
      </c>
      <c r="E68" s="79" t="s">
        <v>526</v>
      </c>
      <c r="F68" s="79" t="s">
        <v>527</v>
      </c>
      <c r="G68" s="79">
        <v>1570.73</v>
      </c>
      <c r="H68" s="80" t="s">
        <v>528</v>
      </c>
      <c r="I68" s="81">
        <v>30783</v>
      </c>
      <c r="J68" s="79">
        <v>7600</v>
      </c>
      <c r="K68" s="79" t="s">
        <v>529</v>
      </c>
      <c r="L68" s="79" t="str">
        <f>IF(2.725*1570.73=0," ",TEXT(,ROUND((2.725*1570.73*5.25),2)))</f>
        <v>22471,26</v>
      </c>
      <c r="M68" s="79" t="s">
        <v>530</v>
      </c>
      <c r="N68" s="79" t="s">
        <v>531</v>
      </c>
    </row>
    <row r="69" spans="1:14" ht="17.25" customHeight="1">
      <c r="A69" s="92" t="s">
        <v>532</v>
      </c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</row>
    <row r="70" spans="1:14" ht="144">
      <c r="A70" s="77">
        <v>29</v>
      </c>
      <c r="B70" s="78" t="s">
        <v>533</v>
      </c>
      <c r="C70" s="78" t="s">
        <v>534</v>
      </c>
      <c r="D70" s="77" t="s">
        <v>535</v>
      </c>
      <c r="E70" s="79" t="s">
        <v>536</v>
      </c>
      <c r="F70" s="79" t="s">
        <v>537</v>
      </c>
      <c r="G70" s="79">
        <v>176.17</v>
      </c>
      <c r="H70" s="80" t="s">
        <v>538</v>
      </c>
      <c r="I70" s="81">
        <v>44698</v>
      </c>
      <c r="J70" s="79">
        <v>12058</v>
      </c>
      <c r="K70" s="79" t="s">
        <v>539</v>
      </c>
      <c r="L70" s="79" t="str">
        <f>IF(13.3*176.17=0," ",TEXT(,ROUND((13.3*176.17*10.78),2)))</f>
        <v>25258,2</v>
      </c>
      <c r="M70" s="79" t="s">
        <v>540</v>
      </c>
      <c r="N70" s="79" t="s">
        <v>541</v>
      </c>
    </row>
    <row r="71" spans="1:14" ht="17.25" customHeight="1">
      <c r="A71" s="92" t="s">
        <v>542</v>
      </c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</row>
    <row r="72" spans="1:14" ht="120">
      <c r="A72" s="77">
        <v>30</v>
      </c>
      <c r="B72" s="78" t="s">
        <v>543</v>
      </c>
      <c r="C72" s="78" t="s">
        <v>544</v>
      </c>
      <c r="D72" s="77" t="s">
        <v>545</v>
      </c>
      <c r="E72" s="79" t="s">
        <v>546</v>
      </c>
      <c r="F72" s="79" t="s">
        <v>547</v>
      </c>
      <c r="G72" s="79">
        <v>9149.44</v>
      </c>
      <c r="H72" s="80" t="s">
        <v>548</v>
      </c>
      <c r="I72" s="81">
        <v>147531</v>
      </c>
      <c r="J72" s="79">
        <v>22750</v>
      </c>
      <c r="K72" s="79" t="s">
        <v>549</v>
      </c>
      <c r="L72" s="79" t="str">
        <f>IF(3.613*9149.44=0," ",TEXT(,ROUND((3.613*9149.44*3.6),2)))</f>
        <v>119004,94</v>
      </c>
      <c r="M72" s="79" t="s">
        <v>550</v>
      </c>
      <c r="N72" s="79" t="s">
        <v>551</v>
      </c>
    </row>
    <row r="73" spans="1:14" ht="60">
      <c r="A73" s="77">
        <v>31</v>
      </c>
      <c r="B73" s="78" t="s">
        <v>552</v>
      </c>
      <c r="C73" s="78" t="s">
        <v>553</v>
      </c>
      <c r="D73" s="77">
        <v>-440.8</v>
      </c>
      <c r="E73" s="79">
        <v>70.5</v>
      </c>
      <c r="F73" s="79"/>
      <c r="G73" s="79">
        <v>70.5</v>
      </c>
      <c r="H73" s="80" t="s">
        <v>554</v>
      </c>
      <c r="I73" s="81">
        <v>-118648</v>
      </c>
      <c r="J73" s="79"/>
      <c r="K73" s="79"/>
      <c r="L73" s="79" t="str">
        <f>IF(-440.8*70.5=0," ",TEXT(,ROUND((-440.8*70.5*3.818),2)))</f>
        <v>-118649,7</v>
      </c>
      <c r="M73" s="79"/>
      <c r="N73" s="79"/>
    </row>
    <row r="74" spans="1:14" ht="48">
      <c r="A74" s="77">
        <v>32</v>
      </c>
      <c r="B74" s="78" t="s">
        <v>555</v>
      </c>
      <c r="C74" s="78" t="s">
        <v>326</v>
      </c>
      <c r="D74" s="77" t="s">
        <v>556</v>
      </c>
      <c r="E74" s="79">
        <v>72.03</v>
      </c>
      <c r="F74" s="79"/>
      <c r="G74" s="79">
        <v>72.03</v>
      </c>
      <c r="H74" s="80" t="s">
        <v>497</v>
      </c>
      <c r="I74" s="81">
        <v>159739</v>
      </c>
      <c r="J74" s="79"/>
      <c r="K74" s="79"/>
      <c r="L74" s="79" t="str">
        <f>IF(397.43*72.03=0," ",TEXT(,ROUND((397.43*72.03*5.58),2)))</f>
        <v>159738,01</v>
      </c>
      <c r="M74" s="79"/>
      <c r="N74" s="79"/>
    </row>
    <row r="75" spans="1:14" ht="72">
      <c r="A75" s="77">
        <v>33</v>
      </c>
      <c r="B75" s="78" t="s">
        <v>557</v>
      </c>
      <c r="C75" s="78" t="s">
        <v>558</v>
      </c>
      <c r="D75" s="77" t="s">
        <v>559</v>
      </c>
      <c r="E75" s="79" t="s">
        <v>560</v>
      </c>
      <c r="F75" s="79">
        <v>5.23</v>
      </c>
      <c r="G75" s="79">
        <v>883.33</v>
      </c>
      <c r="H75" s="80" t="s">
        <v>561</v>
      </c>
      <c r="I75" s="81">
        <v>22992</v>
      </c>
      <c r="J75" s="79">
        <v>2698</v>
      </c>
      <c r="K75" s="79">
        <v>274</v>
      </c>
      <c r="L75" s="79" t="str">
        <f>IF(4.5323*883.33=0," ",TEXT(,ROUND((4.5323*883.33*5),2)))</f>
        <v>20017,58</v>
      </c>
      <c r="M75" s="79">
        <v>4.52</v>
      </c>
      <c r="N75" s="79">
        <v>20.49</v>
      </c>
    </row>
    <row r="76" spans="1:14" ht="60">
      <c r="A76" s="77">
        <v>34</v>
      </c>
      <c r="B76" s="78" t="s">
        <v>562</v>
      </c>
      <c r="C76" s="78" t="s">
        <v>563</v>
      </c>
      <c r="D76" s="77">
        <v>-521.2</v>
      </c>
      <c r="E76" s="79">
        <v>7.46</v>
      </c>
      <c r="F76" s="79"/>
      <c r="G76" s="79">
        <v>7.46</v>
      </c>
      <c r="H76" s="80" t="s">
        <v>564</v>
      </c>
      <c r="I76" s="81">
        <v>-19436</v>
      </c>
      <c r="J76" s="79"/>
      <c r="K76" s="79"/>
      <c r="L76" s="79" t="str">
        <f>IF(-521.2*7.46=0," ",TEXT(,ROUND((-521.2*7.46*4.999),2)))</f>
        <v>-19436,87</v>
      </c>
      <c r="M76" s="79"/>
      <c r="N76" s="79"/>
    </row>
    <row r="77" spans="1:14" ht="48">
      <c r="A77" s="77">
        <v>35</v>
      </c>
      <c r="B77" s="78" t="s">
        <v>565</v>
      </c>
      <c r="C77" s="78" t="s">
        <v>566</v>
      </c>
      <c r="D77" s="77">
        <v>521.2</v>
      </c>
      <c r="E77" s="79">
        <v>2.16</v>
      </c>
      <c r="F77" s="79"/>
      <c r="G77" s="79">
        <v>2.16</v>
      </c>
      <c r="H77" s="80" t="s">
        <v>497</v>
      </c>
      <c r="I77" s="81">
        <v>6283</v>
      </c>
      <c r="J77" s="79"/>
      <c r="K77" s="79"/>
      <c r="L77" s="79" t="str">
        <f>IF(521.2*2.16=0," ",TEXT(,ROUND((521.2*2.16*5.58),2)))</f>
        <v>6281,92</v>
      </c>
      <c r="M77" s="79"/>
      <c r="N77" s="79"/>
    </row>
    <row r="78" spans="1:14" ht="132">
      <c r="A78" s="77">
        <v>36</v>
      </c>
      <c r="B78" s="78" t="s">
        <v>567</v>
      </c>
      <c r="C78" s="78" t="s">
        <v>568</v>
      </c>
      <c r="D78" s="77" t="s">
        <v>569</v>
      </c>
      <c r="E78" s="79" t="s">
        <v>570</v>
      </c>
      <c r="F78" s="79" t="s">
        <v>571</v>
      </c>
      <c r="G78" s="79">
        <v>8890.58</v>
      </c>
      <c r="H78" s="80" t="s">
        <v>572</v>
      </c>
      <c r="I78" s="81">
        <v>77178</v>
      </c>
      <c r="J78" s="79">
        <v>27488</v>
      </c>
      <c r="K78" s="79" t="s">
        <v>573</v>
      </c>
      <c r="L78" s="79" t="str">
        <f>IF(1.511*8890.58=0," ",TEXT(,ROUND((1.511*8890.58*3.66),2)))</f>
        <v>49167,22</v>
      </c>
      <c r="M78" s="79" t="s">
        <v>574</v>
      </c>
      <c r="N78" s="79" t="s">
        <v>575</v>
      </c>
    </row>
    <row r="79" spans="1:14" ht="108">
      <c r="A79" s="77">
        <v>37</v>
      </c>
      <c r="B79" s="78" t="s">
        <v>576</v>
      </c>
      <c r="C79" s="78" t="s">
        <v>577</v>
      </c>
      <c r="D79" s="77" t="s">
        <v>578</v>
      </c>
      <c r="E79" s="79" t="s">
        <v>579</v>
      </c>
      <c r="F79" s="79" t="s">
        <v>580</v>
      </c>
      <c r="G79" s="79">
        <v>17933.62</v>
      </c>
      <c r="H79" s="80" t="s">
        <v>581</v>
      </c>
      <c r="I79" s="81">
        <v>80929</v>
      </c>
      <c r="J79" s="79">
        <v>12206</v>
      </c>
      <c r="K79" s="79" t="s">
        <v>582</v>
      </c>
      <c r="L79" s="79" t="str">
        <f>IF(0.892*17933.62=0," ",TEXT(,ROUND((0.892*17933.62*4.06),2)))</f>
        <v>64946,96</v>
      </c>
      <c r="M79" s="79" t="s">
        <v>583</v>
      </c>
      <c r="N79" s="79" t="s">
        <v>584</v>
      </c>
    </row>
    <row r="80" spans="1:14" ht="48">
      <c r="A80" s="77">
        <v>38</v>
      </c>
      <c r="B80" s="78" t="s">
        <v>585</v>
      </c>
      <c r="C80" s="78" t="s">
        <v>586</v>
      </c>
      <c r="D80" s="77">
        <v>51.5</v>
      </c>
      <c r="E80" s="79">
        <v>25.29</v>
      </c>
      <c r="F80" s="79"/>
      <c r="G80" s="79">
        <v>25.29</v>
      </c>
      <c r="H80" s="80" t="s">
        <v>587</v>
      </c>
      <c r="I80" s="81">
        <v>7265</v>
      </c>
      <c r="J80" s="79"/>
      <c r="K80" s="79"/>
      <c r="L80" s="79" t="str">
        <f>IF(51.5*25.29=0," ",TEXT(,ROUND((51.5*25.29*5.58),2)))</f>
        <v>7267,59</v>
      </c>
      <c r="M80" s="79"/>
      <c r="N80" s="79"/>
    </row>
    <row r="81" spans="1:14" ht="48">
      <c r="A81" s="77">
        <v>39</v>
      </c>
      <c r="B81" s="78" t="s">
        <v>588</v>
      </c>
      <c r="C81" s="78" t="s">
        <v>589</v>
      </c>
      <c r="D81" s="77">
        <v>54.4</v>
      </c>
      <c r="E81" s="79">
        <v>28.83</v>
      </c>
      <c r="F81" s="79"/>
      <c r="G81" s="79">
        <v>28.83</v>
      </c>
      <c r="H81" s="80" t="s">
        <v>497</v>
      </c>
      <c r="I81" s="81">
        <v>8749</v>
      </c>
      <c r="J81" s="79"/>
      <c r="K81" s="79"/>
      <c r="L81" s="79" t="str">
        <f>IF(54.4*28.83=0," ",TEXT(,ROUND((54.4*28.83*5.58),2)))</f>
        <v>8751,4</v>
      </c>
      <c r="M81" s="79"/>
      <c r="N81" s="79"/>
    </row>
    <row r="82" spans="1:14" ht="72">
      <c r="A82" s="77">
        <v>40</v>
      </c>
      <c r="B82" s="78" t="s">
        <v>590</v>
      </c>
      <c r="C82" s="78" t="s">
        <v>591</v>
      </c>
      <c r="D82" s="77" t="s">
        <v>592</v>
      </c>
      <c r="E82" s="79">
        <v>25</v>
      </c>
      <c r="F82" s="79"/>
      <c r="G82" s="79">
        <v>25</v>
      </c>
      <c r="H82" s="80" t="s">
        <v>593</v>
      </c>
      <c r="I82" s="81">
        <v>3803</v>
      </c>
      <c r="J82" s="79"/>
      <c r="K82" s="79"/>
      <c r="L82" s="79" t="str">
        <f>IF(92.9*25=0," ",TEXT(,ROUND((92.9*25*1.637),2)))</f>
        <v>3801,93</v>
      </c>
      <c r="M82" s="79"/>
      <c r="N82" s="79"/>
    </row>
    <row r="83" spans="1:14" ht="17.25" customHeight="1">
      <c r="A83" s="92" t="s">
        <v>594</v>
      </c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</row>
    <row r="84" spans="1:14" ht="108">
      <c r="A84" s="77">
        <v>41</v>
      </c>
      <c r="B84" s="78" t="s">
        <v>595</v>
      </c>
      <c r="C84" s="78" t="s">
        <v>596</v>
      </c>
      <c r="D84" s="77" t="s">
        <v>597</v>
      </c>
      <c r="E84" s="79" t="s">
        <v>598</v>
      </c>
      <c r="F84" s="79" t="s">
        <v>599</v>
      </c>
      <c r="G84" s="79">
        <v>3032.91</v>
      </c>
      <c r="H84" s="80" t="s">
        <v>600</v>
      </c>
      <c r="I84" s="81">
        <v>4583</v>
      </c>
      <c r="J84" s="79">
        <v>197</v>
      </c>
      <c r="K84" s="79" t="s">
        <v>601</v>
      </c>
      <c r="L84" s="79" t="str">
        <f>IF(0.183*3032.91=0," ",TEXT(,ROUND((0.183*3032.91*7.67),2)))</f>
        <v>4257,02</v>
      </c>
      <c r="M84" s="79" t="s">
        <v>602</v>
      </c>
      <c r="N84" s="79" t="s">
        <v>603</v>
      </c>
    </row>
    <row r="85" spans="1:14" ht="108">
      <c r="A85" s="77">
        <v>42</v>
      </c>
      <c r="B85" s="78" t="s">
        <v>604</v>
      </c>
      <c r="C85" s="78" t="s">
        <v>605</v>
      </c>
      <c r="D85" s="77">
        <v>-0.0549</v>
      </c>
      <c r="E85" s="79">
        <v>10045</v>
      </c>
      <c r="F85" s="79"/>
      <c r="G85" s="79">
        <v>10045</v>
      </c>
      <c r="H85" s="80" t="s">
        <v>606</v>
      </c>
      <c r="I85" s="81">
        <v>-4238</v>
      </c>
      <c r="J85" s="79"/>
      <c r="K85" s="79"/>
      <c r="L85" s="79" t="str">
        <f>IF(-0.0549*10045=0," ",TEXT(,ROUND((-0.0549*10045*7.691),2)))</f>
        <v>-4241,36</v>
      </c>
      <c r="M85" s="79"/>
      <c r="N85" s="79"/>
    </row>
    <row r="86" spans="1:14" ht="60">
      <c r="A86" s="77">
        <v>43</v>
      </c>
      <c r="B86" s="78" t="s">
        <v>607</v>
      </c>
      <c r="C86" s="78" t="s">
        <v>608</v>
      </c>
      <c r="D86" s="77">
        <v>18.3</v>
      </c>
      <c r="E86" s="79">
        <v>12.03</v>
      </c>
      <c r="F86" s="79"/>
      <c r="G86" s="79">
        <v>12.03</v>
      </c>
      <c r="H86" s="80" t="s">
        <v>609</v>
      </c>
      <c r="I86" s="81">
        <v>1522</v>
      </c>
      <c r="J86" s="79"/>
      <c r="K86" s="79"/>
      <c r="L86" s="79" t="str">
        <f>IF(18.3*12.03=0," ",TEXT(,ROUND((18.3*12.03*6.918),2)))</f>
        <v>1522,99</v>
      </c>
      <c r="M86" s="79"/>
      <c r="N86" s="79"/>
    </row>
    <row r="87" spans="1:14" ht="108">
      <c r="A87" s="77">
        <v>44</v>
      </c>
      <c r="B87" s="78" t="s">
        <v>595</v>
      </c>
      <c r="C87" s="78" t="s">
        <v>610</v>
      </c>
      <c r="D87" s="77">
        <v>0.075</v>
      </c>
      <c r="E87" s="79" t="s">
        <v>598</v>
      </c>
      <c r="F87" s="79" t="s">
        <v>599</v>
      </c>
      <c r="G87" s="79">
        <v>3032.91</v>
      </c>
      <c r="H87" s="80" t="s">
        <v>600</v>
      </c>
      <c r="I87" s="81">
        <v>1881</v>
      </c>
      <c r="J87" s="79">
        <v>82</v>
      </c>
      <c r="K87" s="79">
        <v>50</v>
      </c>
      <c r="L87" s="79" t="str">
        <f>IF(0.075*3032.91=0," ",TEXT(,ROUND((0.075*3032.91*7.67),2)))</f>
        <v>1744,68</v>
      </c>
      <c r="M87" s="79" t="s">
        <v>602</v>
      </c>
      <c r="N87" s="79" t="s">
        <v>611</v>
      </c>
    </row>
    <row r="88" spans="1:14" ht="108">
      <c r="A88" s="77">
        <v>45</v>
      </c>
      <c r="B88" s="78" t="s">
        <v>604</v>
      </c>
      <c r="C88" s="78" t="s">
        <v>605</v>
      </c>
      <c r="D88" s="77">
        <v>-0.0225</v>
      </c>
      <c r="E88" s="79">
        <v>10045</v>
      </c>
      <c r="F88" s="79"/>
      <c r="G88" s="79">
        <v>10045</v>
      </c>
      <c r="H88" s="80" t="s">
        <v>606</v>
      </c>
      <c r="I88" s="81">
        <v>-1738</v>
      </c>
      <c r="J88" s="79"/>
      <c r="K88" s="79"/>
      <c r="L88" s="79" t="str">
        <f>IF(-0.0225*10045=0," ",TEXT(,ROUND((-0.0225*10045*7.691),2)))</f>
        <v>-1738,26</v>
      </c>
      <c r="M88" s="79"/>
      <c r="N88" s="79"/>
    </row>
    <row r="89" spans="1:14" ht="72">
      <c r="A89" s="77">
        <v>46</v>
      </c>
      <c r="B89" s="78" t="s">
        <v>612</v>
      </c>
      <c r="C89" s="78" t="s">
        <v>613</v>
      </c>
      <c r="D89" s="77">
        <v>0.06</v>
      </c>
      <c r="E89" s="79">
        <v>11879.76</v>
      </c>
      <c r="F89" s="79"/>
      <c r="G89" s="79">
        <v>11879.76</v>
      </c>
      <c r="H89" s="80" t="s">
        <v>614</v>
      </c>
      <c r="I89" s="81">
        <v>4097</v>
      </c>
      <c r="J89" s="79"/>
      <c r="K89" s="79"/>
      <c r="L89" s="79" t="str">
        <f>IF(0.06*11879.76=0," ",TEXT(,ROUND((0.06*11879.76*5.746),2)))</f>
        <v>4095,67</v>
      </c>
      <c r="M89" s="79"/>
      <c r="N89" s="79"/>
    </row>
    <row r="90" spans="1:14" ht="17.25" customHeight="1">
      <c r="A90" s="92" t="s">
        <v>615</v>
      </c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</row>
    <row r="91" spans="1:14" ht="108">
      <c r="A91" s="77">
        <v>47</v>
      </c>
      <c r="B91" s="78" t="s">
        <v>618</v>
      </c>
      <c r="C91" s="78" t="s">
        <v>619</v>
      </c>
      <c r="D91" s="77">
        <v>3</v>
      </c>
      <c r="E91" s="79" t="s">
        <v>620</v>
      </c>
      <c r="F91" s="79" t="s">
        <v>621</v>
      </c>
      <c r="G91" s="79">
        <v>300.2</v>
      </c>
      <c r="H91" s="80" t="s">
        <v>622</v>
      </c>
      <c r="I91" s="81">
        <v>8889</v>
      </c>
      <c r="J91" s="79">
        <v>3208</v>
      </c>
      <c r="K91" s="79" t="s">
        <v>623</v>
      </c>
      <c r="L91" s="79" t="str">
        <f>IF(3*300.2=0," ",TEXT(,ROUND((3*300.2*5.3),2)))</f>
        <v>4773,18</v>
      </c>
      <c r="M91" s="79" t="s">
        <v>624</v>
      </c>
      <c r="N91" s="79" t="s">
        <v>625</v>
      </c>
    </row>
    <row r="92" spans="1:14" ht="60">
      <c r="A92" s="77">
        <v>48</v>
      </c>
      <c r="B92" s="78" t="s">
        <v>626</v>
      </c>
      <c r="C92" s="78" t="s">
        <v>627</v>
      </c>
      <c r="D92" s="77">
        <v>3</v>
      </c>
      <c r="E92" s="79">
        <v>13.42</v>
      </c>
      <c r="F92" s="79"/>
      <c r="G92" s="79">
        <v>13.42</v>
      </c>
      <c r="H92" s="80" t="s">
        <v>628</v>
      </c>
      <c r="I92" s="81">
        <v>78</v>
      </c>
      <c r="J92" s="79"/>
      <c r="K92" s="79"/>
      <c r="L92" s="79" t="str">
        <f>IF(3*13.42=0," ",TEXT(,ROUND((3*13.42*1.941),2)))</f>
        <v>78,14</v>
      </c>
      <c r="M92" s="79"/>
      <c r="N92" s="79"/>
    </row>
    <row r="93" spans="1:14" ht="60">
      <c r="A93" s="77">
        <v>49</v>
      </c>
      <c r="B93" s="78" t="s">
        <v>629</v>
      </c>
      <c r="C93" s="78" t="s">
        <v>630</v>
      </c>
      <c r="D93" s="77">
        <v>6</v>
      </c>
      <c r="E93" s="79">
        <v>3.74</v>
      </c>
      <c r="F93" s="79"/>
      <c r="G93" s="79">
        <v>3.74</v>
      </c>
      <c r="H93" s="80" t="s">
        <v>631</v>
      </c>
      <c r="I93" s="81">
        <v>51</v>
      </c>
      <c r="J93" s="79"/>
      <c r="K93" s="79"/>
      <c r="L93" s="79" t="str">
        <f>IF(6*3.74=0," ",TEXT(,ROUND((6*3.74*2.337),2)))</f>
        <v>52,44</v>
      </c>
      <c r="M93" s="79"/>
      <c r="N93" s="79"/>
    </row>
    <row r="94" spans="1:14" ht="120">
      <c r="A94" s="77">
        <v>50</v>
      </c>
      <c r="B94" s="78" t="s">
        <v>479</v>
      </c>
      <c r="C94" s="78" t="s">
        <v>632</v>
      </c>
      <c r="D94" s="77" t="s">
        <v>633</v>
      </c>
      <c r="E94" s="79" t="s">
        <v>482</v>
      </c>
      <c r="F94" s="79">
        <v>11.99</v>
      </c>
      <c r="G94" s="79">
        <v>4743.53</v>
      </c>
      <c r="H94" s="80" t="s">
        <v>483</v>
      </c>
      <c r="I94" s="81">
        <v>5882</v>
      </c>
      <c r="J94" s="79">
        <v>1053</v>
      </c>
      <c r="K94" s="79">
        <v>34</v>
      </c>
      <c r="L94" s="79" t="str">
        <f>IF(0.2731*4743.53=0," ",TEXT(,ROUND((0.2731*4743.53*3.7),2)))</f>
        <v>4793,19</v>
      </c>
      <c r="M94" s="79">
        <v>28.635</v>
      </c>
      <c r="N94" s="79">
        <v>7.82</v>
      </c>
    </row>
    <row r="95" spans="1:14" ht="17.25" customHeight="1">
      <c r="A95" s="92" t="s">
        <v>634</v>
      </c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</row>
    <row r="96" spans="1:14" ht="108">
      <c r="A96" s="77">
        <v>51</v>
      </c>
      <c r="B96" s="78" t="s">
        <v>635</v>
      </c>
      <c r="C96" s="78" t="s">
        <v>636</v>
      </c>
      <c r="D96" s="77">
        <v>0.066</v>
      </c>
      <c r="E96" s="79" t="s">
        <v>637</v>
      </c>
      <c r="F96" s="79" t="s">
        <v>638</v>
      </c>
      <c r="G96" s="79">
        <v>2404.8</v>
      </c>
      <c r="H96" s="80" t="s">
        <v>639</v>
      </c>
      <c r="I96" s="81">
        <v>1000</v>
      </c>
      <c r="J96" s="79">
        <v>510</v>
      </c>
      <c r="K96" s="79">
        <v>32</v>
      </c>
      <c r="L96" s="79" t="str">
        <f>IF(0.066*2404.8=0," ",TEXT(,ROUND((0.066*2404.8*2.88),2)))</f>
        <v>457,1</v>
      </c>
      <c r="M96" s="79" t="s">
        <v>640</v>
      </c>
      <c r="N96" s="79" t="s">
        <v>641</v>
      </c>
    </row>
    <row r="97" spans="1:14" ht="120">
      <c r="A97" s="77">
        <v>52</v>
      </c>
      <c r="B97" s="78" t="s">
        <v>642</v>
      </c>
      <c r="C97" s="78" t="s">
        <v>643</v>
      </c>
      <c r="D97" s="77">
        <v>0.0831</v>
      </c>
      <c r="E97" s="79" t="s">
        <v>644</v>
      </c>
      <c r="F97" s="79" t="s">
        <v>645</v>
      </c>
      <c r="G97" s="79">
        <v>88.5</v>
      </c>
      <c r="H97" s="80" t="s">
        <v>646</v>
      </c>
      <c r="I97" s="81">
        <v>1254</v>
      </c>
      <c r="J97" s="79">
        <v>477</v>
      </c>
      <c r="K97" s="79" t="s">
        <v>647</v>
      </c>
      <c r="L97" s="79" t="str">
        <f>IF(0.0831*88.5=0," ",TEXT(,ROUND((0.0831*88.5*5.25),2)))</f>
        <v>38,61</v>
      </c>
      <c r="M97" s="79" t="s">
        <v>648</v>
      </c>
      <c r="N97" s="79" t="s">
        <v>649</v>
      </c>
    </row>
    <row r="98" spans="1:14" ht="108">
      <c r="A98" s="77">
        <v>53</v>
      </c>
      <c r="B98" s="78" t="s">
        <v>604</v>
      </c>
      <c r="C98" s="78" t="s">
        <v>605</v>
      </c>
      <c r="D98" s="77">
        <v>0.0831</v>
      </c>
      <c r="E98" s="79">
        <v>10045</v>
      </c>
      <c r="F98" s="79"/>
      <c r="G98" s="79">
        <v>10045</v>
      </c>
      <c r="H98" s="80" t="s">
        <v>606</v>
      </c>
      <c r="I98" s="81">
        <v>6422</v>
      </c>
      <c r="J98" s="79"/>
      <c r="K98" s="79"/>
      <c r="L98" s="79" t="str">
        <f>IF(0.0831*10045=0," ",TEXT(,ROUND((0.0831*10045*7.691),2)))</f>
        <v>6419,98</v>
      </c>
      <c r="M98" s="79"/>
      <c r="N98" s="79"/>
    </row>
    <row r="99" spans="1:14" ht="156">
      <c r="A99" s="77">
        <v>54</v>
      </c>
      <c r="B99" s="78" t="s">
        <v>650</v>
      </c>
      <c r="C99" s="78" t="s">
        <v>651</v>
      </c>
      <c r="D99" s="77">
        <v>0.0561</v>
      </c>
      <c r="E99" s="79" t="s">
        <v>652</v>
      </c>
      <c r="F99" s="79" t="s">
        <v>653</v>
      </c>
      <c r="G99" s="79">
        <v>562.56</v>
      </c>
      <c r="H99" s="80" t="s">
        <v>654</v>
      </c>
      <c r="I99" s="81">
        <v>235</v>
      </c>
      <c r="J99" s="79">
        <v>66</v>
      </c>
      <c r="K99" s="79">
        <v>11</v>
      </c>
      <c r="L99" s="79" t="str">
        <f>IF(0.0561*562.56=0," ",TEXT(,ROUND((0.0561*562.56*4.94),2)))</f>
        <v>155,9</v>
      </c>
      <c r="M99" s="79" t="s">
        <v>655</v>
      </c>
      <c r="N99" s="79">
        <v>0.49</v>
      </c>
    </row>
    <row r="100" spans="1:14" ht="17.25" customHeight="1">
      <c r="A100" s="92" t="s">
        <v>656</v>
      </c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</row>
    <row r="101" spans="1:14" ht="108">
      <c r="A101" s="77">
        <v>55</v>
      </c>
      <c r="B101" s="78" t="s">
        <v>595</v>
      </c>
      <c r="C101" s="78" t="s">
        <v>596</v>
      </c>
      <c r="D101" s="77">
        <v>0.85</v>
      </c>
      <c r="E101" s="79" t="s">
        <v>598</v>
      </c>
      <c r="F101" s="79" t="s">
        <v>599</v>
      </c>
      <c r="G101" s="79">
        <v>3032.91</v>
      </c>
      <c r="H101" s="80" t="s">
        <v>600</v>
      </c>
      <c r="I101" s="81">
        <v>21312</v>
      </c>
      <c r="J101" s="79">
        <v>954</v>
      </c>
      <c r="K101" s="79" t="s">
        <v>657</v>
      </c>
      <c r="L101" s="79" t="str">
        <f>IF(0.85*3032.91=0," ",TEXT(,ROUND((0.85*3032.91*7.67),2)))</f>
        <v>19773,06</v>
      </c>
      <c r="M101" s="79" t="s">
        <v>602</v>
      </c>
      <c r="N101" s="79" t="s">
        <v>658</v>
      </c>
    </row>
    <row r="102" spans="1:14" ht="108">
      <c r="A102" s="77">
        <v>56</v>
      </c>
      <c r="B102" s="78" t="s">
        <v>604</v>
      </c>
      <c r="C102" s="78" t="s">
        <v>605</v>
      </c>
      <c r="D102" s="77">
        <v>-0.255</v>
      </c>
      <c r="E102" s="79">
        <v>10045</v>
      </c>
      <c r="F102" s="79"/>
      <c r="G102" s="79">
        <v>10045</v>
      </c>
      <c r="H102" s="80" t="s">
        <v>606</v>
      </c>
      <c r="I102" s="81">
        <v>-19697</v>
      </c>
      <c r="J102" s="79"/>
      <c r="K102" s="79"/>
      <c r="L102" s="79" t="str">
        <f>IF(-0.255*10045=0," ",TEXT(,ROUND((-0.255*10045*7.691),2)))</f>
        <v>-19700,3</v>
      </c>
      <c r="M102" s="79"/>
      <c r="N102" s="79"/>
    </row>
    <row r="103" spans="1:14" ht="60">
      <c r="A103" s="77">
        <v>57</v>
      </c>
      <c r="B103" s="78" t="s">
        <v>659</v>
      </c>
      <c r="C103" s="78" t="s">
        <v>660</v>
      </c>
      <c r="D103" s="77">
        <v>0.73</v>
      </c>
      <c r="E103" s="79">
        <v>7571</v>
      </c>
      <c r="F103" s="79"/>
      <c r="G103" s="79">
        <v>7571</v>
      </c>
      <c r="H103" s="80" t="s">
        <v>661</v>
      </c>
      <c r="I103" s="81">
        <v>53197</v>
      </c>
      <c r="J103" s="79"/>
      <c r="K103" s="79"/>
      <c r="L103" s="79" t="str">
        <f>IF(0.73*7571=0," ",TEXT(,ROUND((0.73*7571*9.625),2)))</f>
        <v>53195,74</v>
      </c>
      <c r="M103" s="79"/>
      <c r="N103" s="79"/>
    </row>
    <row r="104" spans="1:14" ht="156">
      <c r="A104" s="77">
        <v>58</v>
      </c>
      <c r="B104" s="78" t="s">
        <v>650</v>
      </c>
      <c r="C104" s="78" t="s">
        <v>651</v>
      </c>
      <c r="D104" s="77">
        <v>0.1734</v>
      </c>
      <c r="E104" s="79" t="s">
        <v>652</v>
      </c>
      <c r="F104" s="79" t="s">
        <v>653</v>
      </c>
      <c r="G104" s="79">
        <v>562.56</v>
      </c>
      <c r="H104" s="80" t="s">
        <v>654</v>
      </c>
      <c r="I104" s="81">
        <v>741</v>
      </c>
      <c r="J104" s="79">
        <v>230</v>
      </c>
      <c r="K104" s="79">
        <v>32</v>
      </c>
      <c r="L104" s="79" t="str">
        <f>IF(0.1734*562.56=0," ",TEXT(,ROUND((0.1734*562.56*4.94),2)))</f>
        <v>481,89</v>
      </c>
      <c r="M104" s="79" t="s">
        <v>655</v>
      </c>
      <c r="N104" s="79">
        <v>1.53</v>
      </c>
    </row>
    <row r="105" spans="1:14" ht="24">
      <c r="A105" s="89" t="s">
        <v>430</v>
      </c>
      <c r="B105" s="89"/>
      <c r="C105" s="89"/>
      <c r="D105" s="89"/>
      <c r="E105" s="89"/>
      <c r="F105" s="89"/>
      <c r="G105" s="89"/>
      <c r="H105" s="89"/>
      <c r="I105" s="81">
        <v>128021</v>
      </c>
      <c r="J105" s="79">
        <v>9118</v>
      </c>
      <c r="K105" s="79" t="s">
        <v>662</v>
      </c>
      <c r="L105" s="79">
        <v>116396</v>
      </c>
      <c r="M105" s="79"/>
      <c r="N105" s="79" t="s">
        <v>663</v>
      </c>
    </row>
    <row r="106" spans="1:14" ht="24">
      <c r="A106" s="89" t="s">
        <v>433</v>
      </c>
      <c r="B106" s="89"/>
      <c r="C106" s="89"/>
      <c r="D106" s="89"/>
      <c r="E106" s="89"/>
      <c r="F106" s="89"/>
      <c r="G106" s="89"/>
      <c r="H106" s="89"/>
      <c r="I106" s="81">
        <v>743550</v>
      </c>
      <c r="J106" s="79">
        <v>149992</v>
      </c>
      <c r="K106" s="79" t="s">
        <v>664</v>
      </c>
      <c r="L106" s="79">
        <v>566273</v>
      </c>
      <c r="M106" s="79"/>
      <c r="N106" s="79" t="s">
        <v>663</v>
      </c>
    </row>
    <row r="107" spans="1:14" ht="12">
      <c r="A107" s="89" t="s">
        <v>435</v>
      </c>
      <c r="B107" s="89"/>
      <c r="C107" s="89"/>
      <c r="D107" s="89"/>
      <c r="E107" s="89"/>
      <c r="F107" s="89"/>
      <c r="G107" s="89"/>
      <c r="H107" s="89"/>
      <c r="I107" s="81">
        <v>135399</v>
      </c>
      <c r="J107" s="79"/>
      <c r="K107" s="79"/>
      <c r="L107" s="79"/>
      <c r="M107" s="79"/>
      <c r="N107" s="79"/>
    </row>
    <row r="108" spans="1:14" ht="12">
      <c r="A108" s="89" t="s">
        <v>436</v>
      </c>
      <c r="B108" s="89"/>
      <c r="C108" s="89"/>
      <c r="D108" s="89"/>
      <c r="E108" s="89"/>
      <c r="F108" s="89"/>
      <c r="G108" s="89"/>
      <c r="H108" s="89"/>
      <c r="I108" s="81">
        <v>69153</v>
      </c>
      <c r="J108" s="79"/>
      <c r="K108" s="79"/>
      <c r="L108" s="79"/>
      <c r="M108" s="79"/>
      <c r="N108" s="79"/>
    </row>
    <row r="109" spans="1:14" ht="12">
      <c r="A109" s="91" t="s">
        <v>665</v>
      </c>
      <c r="B109" s="91"/>
      <c r="C109" s="91"/>
      <c r="D109" s="91"/>
      <c r="E109" s="91"/>
      <c r="F109" s="91"/>
      <c r="G109" s="91"/>
      <c r="H109" s="91"/>
      <c r="I109" s="81"/>
      <c r="J109" s="79"/>
      <c r="K109" s="79"/>
      <c r="L109" s="79"/>
      <c r="M109" s="79"/>
      <c r="N109" s="79"/>
    </row>
    <row r="110" spans="1:14" ht="24">
      <c r="A110" s="89" t="s">
        <v>666</v>
      </c>
      <c r="B110" s="89"/>
      <c r="C110" s="89"/>
      <c r="D110" s="89"/>
      <c r="E110" s="89"/>
      <c r="F110" s="89"/>
      <c r="G110" s="89"/>
      <c r="H110" s="89"/>
      <c r="I110" s="81">
        <v>269672</v>
      </c>
      <c r="J110" s="79"/>
      <c r="K110" s="79"/>
      <c r="L110" s="79"/>
      <c r="M110" s="79"/>
      <c r="N110" s="79" t="s">
        <v>667</v>
      </c>
    </row>
    <row r="111" spans="1:14" ht="12">
      <c r="A111" s="89" t="s">
        <v>668</v>
      </c>
      <c r="B111" s="89"/>
      <c r="C111" s="89"/>
      <c r="D111" s="89"/>
      <c r="E111" s="89"/>
      <c r="F111" s="89"/>
      <c r="G111" s="89"/>
      <c r="H111" s="89"/>
      <c r="I111" s="81">
        <v>135656</v>
      </c>
      <c r="J111" s="79"/>
      <c r="K111" s="79"/>
      <c r="L111" s="79"/>
      <c r="M111" s="79"/>
      <c r="N111" s="79"/>
    </row>
    <row r="112" spans="1:14" ht="24" customHeight="1">
      <c r="A112" s="89" t="s">
        <v>669</v>
      </c>
      <c r="B112" s="89"/>
      <c r="C112" s="89"/>
      <c r="D112" s="89"/>
      <c r="E112" s="89"/>
      <c r="F112" s="89"/>
      <c r="G112" s="89"/>
      <c r="H112" s="89"/>
      <c r="I112" s="81">
        <v>22284</v>
      </c>
      <c r="J112" s="79"/>
      <c r="K112" s="79"/>
      <c r="L112" s="79"/>
      <c r="M112" s="79"/>
      <c r="N112" s="79">
        <v>55.41</v>
      </c>
    </row>
    <row r="113" spans="1:14" ht="24">
      <c r="A113" s="89" t="s">
        <v>670</v>
      </c>
      <c r="B113" s="89"/>
      <c r="C113" s="89"/>
      <c r="D113" s="89"/>
      <c r="E113" s="89"/>
      <c r="F113" s="89"/>
      <c r="G113" s="89"/>
      <c r="H113" s="89"/>
      <c r="I113" s="81">
        <v>6443</v>
      </c>
      <c r="J113" s="79"/>
      <c r="K113" s="79"/>
      <c r="L113" s="79"/>
      <c r="M113" s="79"/>
      <c r="N113" s="79" t="s">
        <v>506</v>
      </c>
    </row>
    <row r="114" spans="1:14" ht="24">
      <c r="A114" s="89" t="s">
        <v>440</v>
      </c>
      <c r="B114" s="89"/>
      <c r="C114" s="89"/>
      <c r="D114" s="89"/>
      <c r="E114" s="89"/>
      <c r="F114" s="89"/>
      <c r="G114" s="89"/>
      <c r="H114" s="89"/>
      <c r="I114" s="81">
        <v>88669</v>
      </c>
      <c r="J114" s="79"/>
      <c r="K114" s="79"/>
      <c r="L114" s="79"/>
      <c r="M114" s="79"/>
      <c r="N114" s="79" t="s">
        <v>671</v>
      </c>
    </row>
    <row r="115" spans="1:14" ht="24">
      <c r="A115" s="89" t="s">
        <v>672</v>
      </c>
      <c r="B115" s="89"/>
      <c r="C115" s="89"/>
      <c r="D115" s="89"/>
      <c r="E115" s="89"/>
      <c r="F115" s="89"/>
      <c r="G115" s="89"/>
      <c r="H115" s="89"/>
      <c r="I115" s="81">
        <v>422030</v>
      </c>
      <c r="J115" s="79"/>
      <c r="K115" s="79"/>
      <c r="L115" s="79"/>
      <c r="M115" s="79"/>
      <c r="N115" s="79" t="s">
        <v>673</v>
      </c>
    </row>
    <row r="116" spans="1:14" ht="24">
      <c r="A116" s="89" t="s">
        <v>674</v>
      </c>
      <c r="B116" s="89"/>
      <c r="C116" s="89"/>
      <c r="D116" s="89"/>
      <c r="E116" s="89"/>
      <c r="F116" s="89"/>
      <c r="G116" s="89"/>
      <c r="H116" s="89"/>
      <c r="I116" s="81">
        <v>2027</v>
      </c>
      <c r="J116" s="79"/>
      <c r="K116" s="79"/>
      <c r="L116" s="79"/>
      <c r="M116" s="79"/>
      <c r="N116" s="79" t="s">
        <v>649</v>
      </c>
    </row>
    <row r="117" spans="1:14" ht="12">
      <c r="A117" s="89" t="s">
        <v>675</v>
      </c>
      <c r="B117" s="89"/>
      <c r="C117" s="89"/>
      <c r="D117" s="89"/>
      <c r="E117" s="89"/>
      <c r="F117" s="89"/>
      <c r="G117" s="89"/>
      <c r="H117" s="89"/>
      <c r="I117" s="81">
        <v>1321</v>
      </c>
      <c r="J117" s="79"/>
      <c r="K117" s="79"/>
      <c r="L117" s="79"/>
      <c r="M117" s="79"/>
      <c r="N117" s="79">
        <v>2.02</v>
      </c>
    </row>
    <row r="118" spans="1:14" ht="24">
      <c r="A118" s="89" t="s">
        <v>445</v>
      </c>
      <c r="B118" s="89"/>
      <c r="C118" s="89"/>
      <c r="D118" s="89"/>
      <c r="E118" s="89"/>
      <c r="F118" s="89"/>
      <c r="G118" s="89"/>
      <c r="H118" s="89"/>
      <c r="I118" s="81">
        <v>948102</v>
      </c>
      <c r="J118" s="79"/>
      <c r="K118" s="79"/>
      <c r="L118" s="79"/>
      <c r="M118" s="79"/>
      <c r="N118" s="79" t="s">
        <v>663</v>
      </c>
    </row>
    <row r="119" spans="1:14" ht="12">
      <c r="A119" s="89" t="s">
        <v>446</v>
      </c>
      <c r="B119" s="89"/>
      <c r="C119" s="89"/>
      <c r="D119" s="89"/>
      <c r="E119" s="89"/>
      <c r="F119" s="89"/>
      <c r="G119" s="89"/>
      <c r="H119" s="89"/>
      <c r="I119" s="81"/>
      <c r="J119" s="79"/>
      <c r="K119" s="79"/>
      <c r="L119" s="79"/>
      <c r="M119" s="79"/>
      <c r="N119" s="79"/>
    </row>
    <row r="120" spans="1:14" ht="12">
      <c r="A120" s="89" t="s">
        <v>676</v>
      </c>
      <c r="B120" s="89"/>
      <c r="C120" s="89"/>
      <c r="D120" s="89"/>
      <c r="E120" s="89"/>
      <c r="F120" s="89"/>
      <c r="G120" s="89"/>
      <c r="H120" s="89"/>
      <c r="I120" s="81">
        <v>566273</v>
      </c>
      <c r="J120" s="79"/>
      <c r="K120" s="79"/>
      <c r="L120" s="79"/>
      <c r="M120" s="79"/>
      <c r="N120" s="79"/>
    </row>
    <row r="121" spans="1:14" ht="12">
      <c r="A121" s="89" t="s">
        <v>447</v>
      </c>
      <c r="B121" s="89"/>
      <c r="C121" s="89"/>
      <c r="D121" s="89"/>
      <c r="E121" s="89"/>
      <c r="F121" s="89"/>
      <c r="G121" s="89"/>
      <c r="H121" s="89"/>
      <c r="I121" s="81">
        <v>27285</v>
      </c>
      <c r="J121" s="79"/>
      <c r="K121" s="79"/>
      <c r="L121" s="79"/>
      <c r="M121" s="79"/>
      <c r="N121" s="79"/>
    </row>
    <row r="122" spans="1:14" ht="12">
      <c r="A122" s="89" t="s">
        <v>448</v>
      </c>
      <c r="B122" s="89"/>
      <c r="C122" s="89"/>
      <c r="D122" s="89"/>
      <c r="E122" s="89"/>
      <c r="F122" s="89"/>
      <c r="G122" s="89"/>
      <c r="H122" s="89"/>
      <c r="I122" s="81">
        <v>152574</v>
      </c>
      <c r="J122" s="79"/>
      <c r="K122" s="79"/>
      <c r="L122" s="79"/>
      <c r="M122" s="79"/>
      <c r="N122" s="79"/>
    </row>
    <row r="123" spans="1:14" ht="12">
      <c r="A123" s="89" t="s">
        <v>449</v>
      </c>
      <c r="B123" s="89"/>
      <c r="C123" s="89"/>
      <c r="D123" s="89"/>
      <c r="E123" s="89"/>
      <c r="F123" s="89"/>
      <c r="G123" s="89"/>
      <c r="H123" s="89"/>
      <c r="I123" s="81">
        <v>135399</v>
      </c>
      <c r="J123" s="79"/>
      <c r="K123" s="79"/>
      <c r="L123" s="79"/>
      <c r="M123" s="79"/>
      <c r="N123" s="79"/>
    </row>
    <row r="124" spans="1:14" ht="12">
      <c r="A124" s="89" t="s">
        <v>450</v>
      </c>
      <c r="B124" s="89"/>
      <c r="C124" s="89"/>
      <c r="D124" s="89"/>
      <c r="E124" s="89"/>
      <c r="F124" s="89"/>
      <c r="G124" s="89"/>
      <c r="H124" s="89"/>
      <c r="I124" s="81">
        <v>69153</v>
      </c>
      <c r="J124" s="79"/>
      <c r="K124" s="79"/>
      <c r="L124" s="79"/>
      <c r="M124" s="79"/>
      <c r="N124" s="79"/>
    </row>
    <row r="125" spans="1:14" ht="24">
      <c r="A125" s="91" t="s">
        <v>677</v>
      </c>
      <c r="B125" s="91"/>
      <c r="C125" s="91"/>
      <c r="D125" s="91"/>
      <c r="E125" s="91"/>
      <c r="F125" s="91"/>
      <c r="G125" s="91"/>
      <c r="H125" s="91"/>
      <c r="I125" s="81">
        <v>948102</v>
      </c>
      <c r="J125" s="79"/>
      <c r="K125" s="79"/>
      <c r="L125" s="79"/>
      <c r="M125" s="79"/>
      <c r="N125" s="79" t="s">
        <v>663</v>
      </c>
    </row>
    <row r="126" spans="1:14" ht="17.25" customHeight="1">
      <c r="A126" s="91" t="s">
        <v>678</v>
      </c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</row>
    <row r="127" spans="1:14" ht="108">
      <c r="A127" s="77">
        <v>59</v>
      </c>
      <c r="B127" s="78" t="s">
        <v>679</v>
      </c>
      <c r="C127" s="78" t="s">
        <v>680</v>
      </c>
      <c r="D127" s="77">
        <v>1.66</v>
      </c>
      <c r="E127" s="79" t="s">
        <v>681</v>
      </c>
      <c r="F127" s="79" t="s">
        <v>682</v>
      </c>
      <c r="G127" s="79">
        <v>823.32</v>
      </c>
      <c r="H127" s="80" t="s">
        <v>683</v>
      </c>
      <c r="I127" s="81">
        <v>8952</v>
      </c>
      <c r="J127" s="79">
        <v>1842</v>
      </c>
      <c r="K127" s="79" t="s">
        <v>684</v>
      </c>
      <c r="L127" s="79" t="str">
        <f>IF(1.66*823.32=0," ",TEXT(,ROUND((1.66*823.32*4.63),2)))</f>
        <v>6327,87</v>
      </c>
      <c r="M127" s="79" t="s">
        <v>685</v>
      </c>
      <c r="N127" s="79" t="s">
        <v>686</v>
      </c>
    </row>
    <row r="128" spans="1:14" ht="132">
      <c r="A128" s="77">
        <v>60</v>
      </c>
      <c r="B128" s="78" t="s">
        <v>687</v>
      </c>
      <c r="C128" s="78" t="s">
        <v>688</v>
      </c>
      <c r="D128" s="77">
        <v>0.281</v>
      </c>
      <c r="E128" s="79" t="s">
        <v>689</v>
      </c>
      <c r="F128" s="79" t="s">
        <v>690</v>
      </c>
      <c r="G128" s="79">
        <v>810.45</v>
      </c>
      <c r="H128" s="80" t="s">
        <v>691</v>
      </c>
      <c r="I128" s="81">
        <v>4861</v>
      </c>
      <c r="J128" s="79">
        <v>3158</v>
      </c>
      <c r="K128" s="79" t="s">
        <v>692</v>
      </c>
      <c r="L128" s="79" t="str">
        <f>IF(0.281*810.45=0," ",TEXT(,ROUND((0.281*810.45*6.15),2)))</f>
        <v>1400,58</v>
      </c>
      <c r="M128" s="79" t="s">
        <v>693</v>
      </c>
      <c r="N128" s="79" t="s">
        <v>694</v>
      </c>
    </row>
    <row r="129" spans="1:14" ht="132">
      <c r="A129" s="77">
        <v>61</v>
      </c>
      <c r="B129" s="78" t="s">
        <v>695</v>
      </c>
      <c r="C129" s="78" t="s">
        <v>696</v>
      </c>
      <c r="D129" s="77">
        <v>0.4946</v>
      </c>
      <c r="E129" s="79" t="s">
        <v>697</v>
      </c>
      <c r="F129" s="79">
        <v>63.24</v>
      </c>
      <c r="G129" s="79">
        <v>1404.64</v>
      </c>
      <c r="H129" s="80" t="s">
        <v>698</v>
      </c>
      <c r="I129" s="81">
        <v>9667</v>
      </c>
      <c r="J129" s="79">
        <v>2583</v>
      </c>
      <c r="K129" s="79">
        <v>322</v>
      </c>
      <c r="L129" s="79" t="str">
        <f>IF(0.4946*1404.64=0," ",TEXT(,ROUND((0.4946*1404.64*9.73),2)))</f>
        <v>6759,77</v>
      </c>
      <c r="M129" s="79">
        <v>36.777</v>
      </c>
      <c r="N129" s="79">
        <v>18.19</v>
      </c>
    </row>
    <row r="130" spans="1:14" ht="60">
      <c r="A130" s="77">
        <v>62</v>
      </c>
      <c r="B130" s="78" t="s">
        <v>699</v>
      </c>
      <c r="C130" s="78" t="s">
        <v>700</v>
      </c>
      <c r="D130" s="77">
        <v>-0.0569</v>
      </c>
      <c r="E130" s="79">
        <v>7800</v>
      </c>
      <c r="F130" s="79"/>
      <c r="G130" s="79">
        <v>7800</v>
      </c>
      <c r="H130" s="80" t="s">
        <v>701</v>
      </c>
      <c r="I130" s="81">
        <v>-5314</v>
      </c>
      <c r="J130" s="79"/>
      <c r="K130" s="79"/>
      <c r="L130" s="79" t="str">
        <f>IF(-0.0569*7800=0," ",TEXT(,ROUND((-0.0569*7800*11.969),2)))</f>
        <v>-5312,08</v>
      </c>
      <c r="M130" s="79"/>
      <c r="N130" s="79"/>
    </row>
    <row r="131" spans="1:14" ht="48">
      <c r="A131" s="77">
        <v>63</v>
      </c>
      <c r="B131" s="78" t="s">
        <v>702</v>
      </c>
      <c r="C131" s="78" t="s">
        <v>703</v>
      </c>
      <c r="D131" s="77" t="s">
        <v>704</v>
      </c>
      <c r="E131" s="79">
        <v>2.44</v>
      </c>
      <c r="F131" s="79"/>
      <c r="G131" s="79">
        <v>2.44</v>
      </c>
      <c r="H131" s="80" t="s">
        <v>497</v>
      </c>
      <c r="I131" s="81">
        <v>441</v>
      </c>
      <c r="J131" s="79"/>
      <c r="K131" s="79"/>
      <c r="L131" s="79" t="str">
        <f>IF(32.315*2.44=0," ",TEXT(,ROUND((32.315*2.44*5.58),2)))</f>
        <v>439,98</v>
      </c>
      <c r="M131" s="79"/>
      <c r="N131" s="79"/>
    </row>
    <row r="132" spans="1:14" ht="60">
      <c r="A132" s="77">
        <v>64</v>
      </c>
      <c r="B132" s="78" t="s">
        <v>705</v>
      </c>
      <c r="C132" s="78" t="s">
        <v>706</v>
      </c>
      <c r="D132" s="77" t="s">
        <v>707</v>
      </c>
      <c r="E132" s="79">
        <v>22020</v>
      </c>
      <c r="F132" s="79"/>
      <c r="G132" s="79">
        <v>22020</v>
      </c>
      <c r="H132" s="80" t="s">
        <v>708</v>
      </c>
      <c r="I132" s="81">
        <v>832</v>
      </c>
      <c r="J132" s="79"/>
      <c r="K132" s="79"/>
      <c r="L132" s="79" t="str">
        <f>IF(0.024564*22020=0," ",TEXT(,ROUND((0.024564*22020*1.537),2)))</f>
        <v>831,36</v>
      </c>
      <c r="M132" s="79"/>
      <c r="N132" s="79"/>
    </row>
    <row r="133" spans="1:14" ht="144">
      <c r="A133" s="77">
        <v>65</v>
      </c>
      <c r="B133" s="78" t="s">
        <v>709</v>
      </c>
      <c r="C133" s="78" t="s">
        <v>710</v>
      </c>
      <c r="D133" s="77" t="s">
        <v>711</v>
      </c>
      <c r="E133" s="79" t="s">
        <v>712</v>
      </c>
      <c r="F133" s="79" t="s">
        <v>713</v>
      </c>
      <c r="G133" s="79">
        <v>105.45</v>
      </c>
      <c r="H133" s="80" t="s">
        <v>714</v>
      </c>
      <c r="I133" s="81">
        <v>813</v>
      </c>
      <c r="J133" s="79">
        <v>740</v>
      </c>
      <c r="K133" s="79">
        <v>28</v>
      </c>
      <c r="L133" s="79" t="str">
        <f>IF(0.296*105.45=0," ",TEXT(,ROUND((0.296*105.45*1.42),2)))</f>
        <v>44,32</v>
      </c>
      <c r="M133" s="79" t="s">
        <v>715</v>
      </c>
      <c r="N133" s="79" t="s">
        <v>716</v>
      </c>
    </row>
    <row r="134" spans="1:14" ht="48">
      <c r="A134" s="77">
        <v>66</v>
      </c>
      <c r="B134" s="78" t="s">
        <v>717</v>
      </c>
      <c r="C134" s="78" t="s">
        <v>718</v>
      </c>
      <c r="D134" s="77">
        <v>1.48</v>
      </c>
      <c r="E134" s="79">
        <v>692.88</v>
      </c>
      <c r="F134" s="79"/>
      <c r="G134" s="79">
        <v>692.88</v>
      </c>
      <c r="H134" s="80" t="s">
        <v>497</v>
      </c>
      <c r="I134" s="81">
        <v>5720</v>
      </c>
      <c r="J134" s="79"/>
      <c r="K134" s="79"/>
      <c r="L134" s="79" t="str">
        <f>IF(1.48*692.88=0," ",TEXT(,ROUND((1.48*692.88*5.58),2)))</f>
        <v>5722,08</v>
      </c>
      <c r="M134" s="79"/>
      <c r="N134" s="79"/>
    </row>
    <row r="135" spans="1:14" ht="60">
      <c r="A135" s="77">
        <v>67</v>
      </c>
      <c r="B135" s="78" t="s">
        <v>719</v>
      </c>
      <c r="C135" s="78" t="s">
        <v>720</v>
      </c>
      <c r="D135" s="77" t="s">
        <v>721</v>
      </c>
      <c r="E135" s="79">
        <v>6.22</v>
      </c>
      <c r="F135" s="79"/>
      <c r="G135" s="79">
        <v>6.22</v>
      </c>
      <c r="H135" s="80" t="s">
        <v>722</v>
      </c>
      <c r="I135" s="81">
        <v>969</v>
      </c>
      <c r="J135" s="79"/>
      <c r="K135" s="79"/>
      <c r="L135" s="79" t="str">
        <f>IF(14.8*6.22=0," ",TEXT(,ROUND((14.8*6.22*10.533),2)))</f>
        <v>969,63</v>
      </c>
      <c r="M135" s="79"/>
      <c r="N135" s="79"/>
    </row>
    <row r="136" spans="1:14" ht="132">
      <c r="A136" s="77">
        <v>68</v>
      </c>
      <c r="B136" s="78" t="s">
        <v>567</v>
      </c>
      <c r="C136" s="78" t="s">
        <v>568</v>
      </c>
      <c r="D136" s="77" t="s">
        <v>723</v>
      </c>
      <c r="E136" s="79" t="s">
        <v>570</v>
      </c>
      <c r="F136" s="79" t="s">
        <v>571</v>
      </c>
      <c r="G136" s="79">
        <v>8890.58</v>
      </c>
      <c r="H136" s="80" t="s">
        <v>572</v>
      </c>
      <c r="I136" s="81">
        <v>4834</v>
      </c>
      <c r="J136" s="79">
        <v>1727</v>
      </c>
      <c r="K136" s="79">
        <v>36</v>
      </c>
      <c r="L136" s="79" t="str">
        <f>IF(0.0945*8890.58=0," ",TEXT(,ROUND((0.0945*8890.58*3.66),2)))</f>
        <v>3074,98</v>
      </c>
      <c r="M136" s="79" t="s">
        <v>574</v>
      </c>
      <c r="N136" s="79" t="s">
        <v>724</v>
      </c>
    </row>
    <row r="137" spans="1:14" ht="132">
      <c r="A137" s="77">
        <v>69</v>
      </c>
      <c r="B137" s="78" t="s">
        <v>725</v>
      </c>
      <c r="C137" s="78" t="s">
        <v>726</v>
      </c>
      <c r="D137" s="77" t="s">
        <v>727</v>
      </c>
      <c r="E137" s="79" t="s">
        <v>728</v>
      </c>
      <c r="F137" s="79">
        <v>36.09</v>
      </c>
      <c r="G137" s="79">
        <v>3618.21</v>
      </c>
      <c r="H137" s="80" t="s">
        <v>729</v>
      </c>
      <c r="I137" s="81">
        <v>5444</v>
      </c>
      <c r="J137" s="79">
        <v>1530</v>
      </c>
      <c r="K137" s="79">
        <v>88</v>
      </c>
      <c r="L137" s="79" t="str">
        <f>IF(0.2136*3618.21=0," ",TEXT(,ROUND((0.2136*3618.21*4.95),2)))</f>
        <v>3825,61</v>
      </c>
      <c r="M137" s="79">
        <v>50.6</v>
      </c>
      <c r="N137" s="79">
        <v>10.81</v>
      </c>
    </row>
    <row r="138" spans="1:14" ht="108">
      <c r="A138" s="77">
        <v>70</v>
      </c>
      <c r="B138" s="78" t="s">
        <v>730</v>
      </c>
      <c r="C138" s="78" t="s">
        <v>731</v>
      </c>
      <c r="D138" s="77">
        <v>0.22</v>
      </c>
      <c r="E138" s="79" t="s">
        <v>732</v>
      </c>
      <c r="F138" s="79">
        <v>41.89</v>
      </c>
      <c r="G138" s="79">
        <v>2189</v>
      </c>
      <c r="H138" s="80" t="s">
        <v>733</v>
      </c>
      <c r="I138" s="81">
        <v>2511</v>
      </c>
      <c r="J138" s="79">
        <v>790</v>
      </c>
      <c r="K138" s="79">
        <v>100</v>
      </c>
      <c r="L138" s="79" t="str">
        <f>IF(0.22*2189=0," ",TEXT(,ROUND((0.22*2189*3.37),2)))</f>
        <v>1622,92</v>
      </c>
      <c r="M138" s="79">
        <v>25.875</v>
      </c>
      <c r="N138" s="79">
        <v>5.69</v>
      </c>
    </row>
    <row r="139" spans="1:14" ht="96">
      <c r="A139" s="77">
        <v>71</v>
      </c>
      <c r="B139" s="78" t="s">
        <v>734</v>
      </c>
      <c r="C139" s="78" t="s">
        <v>735</v>
      </c>
      <c r="D139" s="77">
        <v>2</v>
      </c>
      <c r="E139" s="79" t="s">
        <v>736</v>
      </c>
      <c r="F139" s="79">
        <v>1.09</v>
      </c>
      <c r="G139" s="79">
        <v>426.8</v>
      </c>
      <c r="H139" s="80" t="s">
        <v>737</v>
      </c>
      <c r="I139" s="81">
        <v>3782</v>
      </c>
      <c r="J139" s="79">
        <v>625</v>
      </c>
      <c r="K139" s="79">
        <v>23</v>
      </c>
      <c r="L139" s="79" t="str">
        <f>IF(2*426.8=0," ",TEXT(,ROUND((2*426.8*3.67),2)))</f>
        <v>3132,71</v>
      </c>
      <c r="M139" s="79">
        <v>2.2195</v>
      </c>
      <c r="N139" s="79">
        <v>4.44</v>
      </c>
    </row>
    <row r="140" spans="1:14" ht="84">
      <c r="A140" s="77">
        <v>72</v>
      </c>
      <c r="B140" s="78" t="s">
        <v>738</v>
      </c>
      <c r="C140" s="78" t="s">
        <v>739</v>
      </c>
      <c r="D140" s="77">
        <v>-0.076</v>
      </c>
      <c r="E140" s="79">
        <v>11200</v>
      </c>
      <c r="F140" s="79"/>
      <c r="G140" s="79">
        <v>11200</v>
      </c>
      <c r="H140" s="80" t="s">
        <v>740</v>
      </c>
      <c r="I140" s="81">
        <v>-3117</v>
      </c>
      <c r="J140" s="79"/>
      <c r="K140" s="79"/>
      <c r="L140" s="79" t="str">
        <f>IF(-0.076*11200=0," ",TEXT(,ROUND((-0.076*11200*3.663),2)))</f>
        <v>-3117,95</v>
      </c>
      <c r="M140" s="79"/>
      <c r="N140" s="79"/>
    </row>
    <row r="141" spans="1:14" ht="96">
      <c r="A141" s="77">
        <v>73</v>
      </c>
      <c r="B141" s="78" t="s">
        <v>555</v>
      </c>
      <c r="C141" s="78" t="s">
        <v>741</v>
      </c>
      <c r="D141" s="77" t="s">
        <v>742</v>
      </c>
      <c r="E141" s="79">
        <v>60.75</v>
      </c>
      <c r="F141" s="79"/>
      <c r="G141" s="79">
        <v>60.75</v>
      </c>
      <c r="H141" s="80" t="s">
        <v>497</v>
      </c>
      <c r="I141" s="81">
        <v>1077</v>
      </c>
      <c r="J141" s="79"/>
      <c r="K141" s="79"/>
      <c r="L141" s="79" t="str">
        <f>IF(3.179*60.75=0," ",TEXT(,ROUND((3.179*60.75*5.58),2)))</f>
        <v>1077,63</v>
      </c>
      <c r="M141" s="79"/>
      <c r="N141" s="79"/>
    </row>
    <row r="142" spans="1:14" ht="24">
      <c r="A142" s="89" t="s">
        <v>430</v>
      </c>
      <c r="B142" s="89"/>
      <c r="C142" s="89"/>
      <c r="D142" s="89"/>
      <c r="E142" s="89"/>
      <c r="F142" s="89"/>
      <c r="G142" s="89"/>
      <c r="H142" s="89"/>
      <c r="I142" s="81">
        <v>6841</v>
      </c>
      <c r="J142" s="79">
        <v>790</v>
      </c>
      <c r="K142" s="79" t="s">
        <v>743</v>
      </c>
      <c r="L142" s="79">
        <v>5904</v>
      </c>
      <c r="M142" s="79"/>
      <c r="N142" s="79" t="s">
        <v>744</v>
      </c>
    </row>
    <row r="143" spans="1:14" ht="24">
      <c r="A143" s="89" t="s">
        <v>433</v>
      </c>
      <c r="B143" s="89"/>
      <c r="C143" s="89"/>
      <c r="D143" s="89"/>
      <c r="E143" s="89"/>
      <c r="F143" s="89"/>
      <c r="G143" s="89"/>
      <c r="H143" s="89"/>
      <c r="I143" s="81">
        <v>41471</v>
      </c>
      <c r="J143" s="79">
        <v>12995</v>
      </c>
      <c r="K143" s="79" t="s">
        <v>745</v>
      </c>
      <c r="L143" s="79">
        <v>26797</v>
      </c>
      <c r="M143" s="79"/>
      <c r="N143" s="79" t="s">
        <v>744</v>
      </c>
    </row>
    <row r="144" spans="1:14" ht="12">
      <c r="A144" s="89" t="s">
        <v>435</v>
      </c>
      <c r="B144" s="89"/>
      <c r="C144" s="89"/>
      <c r="D144" s="89"/>
      <c r="E144" s="89"/>
      <c r="F144" s="89"/>
      <c r="G144" s="89"/>
      <c r="H144" s="89"/>
      <c r="I144" s="81">
        <v>11216</v>
      </c>
      <c r="J144" s="79"/>
      <c r="K144" s="79"/>
      <c r="L144" s="79"/>
      <c r="M144" s="79"/>
      <c r="N144" s="79"/>
    </row>
    <row r="145" spans="1:14" ht="12">
      <c r="A145" s="89" t="s">
        <v>436</v>
      </c>
      <c r="B145" s="89"/>
      <c r="C145" s="89"/>
      <c r="D145" s="89"/>
      <c r="E145" s="89"/>
      <c r="F145" s="89"/>
      <c r="G145" s="89"/>
      <c r="H145" s="89"/>
      <c r="I145" s="81">
        <v>6054</v>
      </c>
      <c r="J145" s="79"/>
      <c r="K145" s="79"/>
      <c r="L145" s="79"/>
      <c r="M145" s="79"/>
      <c r="N145" s="79"/>
    </row>
    <row r="146" spans="1:14" ht="12">
      <c r="A146" s="91" t="s">
        <v>746</v>
      </c>
      <c r="B146" s="91"/>
      <c r="C146" s="91"/>
      <c r="D146" s="91"/>
      <c r="E146" s="91"/>
      <c r="F146" s="91"/>
      <c r="G146" s="91"/>
      <c r="H146" s="91"/>
      <c r="I146" s="81"/>
      <c r="J146" s="79"/>
      <c r="K146" s="79"/>
      <c r="L146" s="79"/>
      <c r="M146" s="79"/>
      <c r="N146" s="79"/>
    </row>
    <row r="147" spans="1:14" ht="24">
      <c r="A147" s="89" t="s">
        <v>747</v>
      </c>
      <c r="B147" s="89"/>
      <c r="C147" s="89"/>
      <c r="D147" s="89"/>
      <c r="E147" s="89"/>
      <c r="F147" s="89"/>
      <c r="G147" s="89"/>
      <c r="H147" s="89"/>
      <c r="I147" s="81">
        <v>11903</v>
      </c>
      <c r="J147" s="79"/>
      <c r="K147" s="79"/>
      <c r="L147" s="79"/>
      <c r="M147" s="79"/>
      <c r="N147" s="79" t="s">
        <v>686</v>
      </c>
    </row>
    <row r="148" spans="1:14" ht="24">
      <c r="A148" s="89" t="s">
        <v>748</v>
      </c>
      <c r="B148" s="89"/>
      <c r="C148" s="89"/>
      <c r="D148" s="89"/>
      <c r="E148" s="89"/>
      <c r="F148" s="89"/>
      <c r="G148" s="89"/>
      <c r="H148" s="89"/>
      <c r="I148" s="81">
        <v>8864</v>
      </c>
      <c r="J148" s="79"/>
      <c r="K148" s="79"/>
      <c r="L148" s="79"/>
      <c r="M148" s="79"/>
      <c r="N148" s="79" t="s">
        <v>694</v>
      </c>
    </row>
    <row r="149" spans="1:14" ht="24">
      <c r="A149" s="89" t="s">
        <v>749</v>
      </c>
      <c r="B149" s="89"/>
      <c r="C149" s="89"/>
      <c r="D149" s="89"/>
      <c r="E149" s="89"/>
      <c r="F149" s="89"/>
      <c r="G149" s="89"/>
      <c r="H149" s="89"/>
      <c r="I149" s="81">
        <v>21990</v>
      </c>
      <c r="J149" s="79"/>
      <c r="K149" s="79"/>
      <c r="L149" s="79"/>
      <c r="M149" s="79"/>
      <c r="N149" s="79" t="s">
        <v>750</v>
      </c>
    </row>
    <row r="150" spans="1:14" ht="12">
      <c r="A150" s="89" t="s">
        <v>668</v>
      </c>
      <c r="B150" s="89"/>
      <c r="C150" s="89"/>
      <c r="D150" s="89"/>
      <c r="E150" s="89"/>
      <c r="F150" s="89"/>
      <c r="G150" s="89"/>
      <c r="H150" s="89"/>
      <c r="I150" s="81">
        <v>2647</v>
      </c>
      <c r="J150" s="79"/>
      <c r="K150" s="79"/>
      <c r="L150" s="79"/>
      <c r="M150" s="79"/>
      <c r="N150" s="79"/>
    </row>
    <row r="151" spans="1:14" ht="24">
      <c r="A151" s="89" t="s">
        <v>672</v>
      </c>
      <c r="B151" s="89"/>
      <c r="C151" s="89"/>
      <c r="D151" s="89"/>
      <c r="E151" s="89"/>
      <c r="F151" s="89"/>
      <c r="G151" s="89"/>
      <c r="H151" s="89"/>
      <c r="I151" s="81">
        <v>8698</v>
      </c>
      <c r="J151" s="79"/>
      <c r="K151" s="79"/>
      <c r="L151" s="79"/>
      <c r="M151" s="79"/>
      <c r="N151" s="79" t="s">
        <v>751</v>
      </c>
    </row>
    <row r="152" spans="1:14" ht="12">
      <c r="A152" s="89" t="s">
        <v>666</v>
      </c>
      <c r="B152" s="89"/>
      <c r="C152" s="89"/>
      <c r="D152" s="89"/>
      <c r="E152" s="89"/>
      <c r="F152" s="89"/>
      <c r="G152" s="89"/>
      <c r="H152" s="89"/>
      <c r="I152" s="81">
        <v>3562</v>
      </c>
      <c r="J152" s="79"/>
      <c r="K152" s="79"/>
      <c r="L152" s="79"/>
      <c r="M152" s="79"/>
      <c r="N152" s="79">
        <v>5.69</v>
      </c>
    </row>
    <row r="153" spans="1:14" ht="24" customHeight="1">
      <c r="A153" s="89" t="s">
        <v>669</v>
      </c>
      <c r="B153" s="89"/>
      <c r="C153" s="89"/>
      <c r="D153" s="89"/>
      <c r="E153" s="89"/>
      <c r="F153" s="89"/>
      <c r="G153" s="89"/>
      <c r="H153" s="89"/>
      <c r="I153" s="81">
        <v>1077</v>
      </c>
      <c r="J153" s="79"/>
      <c r="K153" s="79"/>
      <c r="L153" s="79"/>
      <c r="M153" s="79"/>
      <c r="N153" s="79"/>
    </row>
    <row r="154" spans="1:14" ht="24">
      <c r="A154" s="89" t="s">
        <v>445</v>
      </c>
      <c r="B154" s="89"/>
      <c r="C154" s="89"/>
      <c r="D154" s="89"/>
      <c r="E154" s="89"/>
      <c r="F154" s="89"/>
      <c r="G154" s="89"/>
      <c r="H154" s="89"/>
      <c r="I154" s="81">
        <v>58741</v>
      </c>
      <c r="J154" s="79"/>
      <c r="K154" s="79"/>
      <c r="L154" s="79"/>
      <c r="M154" s="79"/>
      <c r="N154" s="79" t="s">
        <v>744</v>
      </c>
    </row>
    <row r="155" spans="1:14" ht="12">
      <c r="A155" s="89" t="s">
        <v>446</v>
      </c>
      <c r="B155" s="89"/>
      <c r="C155" s="89"/>
      <c r="D155" s="89"/>
      <c r="E155" s="89"/>
      <c r="F155" s="89"/>
      <c r="G155" s="89"/>
      <c r="H155" s="89"/>
      <c r="I155" s="81"/>
      <c r="J155" s="79"/>
      <c r="K155" s="79"/>
      <c r="L155" s="79"/>
      <c r="M155" s="79"/>
      <c r="N155" s="79"/>
    </row>
    <row r="156" spans="1:14" ht="12">
      <c r="A156" s="89" t="s">
        <v>676</v>
      </c>
      <c r="B156" s="89"/>
      <c r="C156" s="89"/>
      <c r="D156" s="89"/>
      <c r="E156" s="89"/>
      <c r="F156" s="89"/>
      <c r="G156" s="89"/>
      <c r="H156" s="89"/>
      <c r="I156" s="81">
        <v>26797</v>
      </c>
      <c r="J156" s="79"/>
      <c r="K156" s="79"/>
      <c r="L156" s="79"/>
      <c r="M156" s="79"/>
      <c r="N156" s="79"/>
    </row>
    <row r="157" spans="1:14" ht="12">
      <c r="A157" s="89" t="s">
        <v>447</v>
      </c>
      <c r="B157" s="89"/>
      <c r="C157" s="89"/>
      <c r="D157" s="89"/>
      <c r="E157" s="89"/>
      <c r="F157" s="89"/>
      <c r="G157" s="89"/>
      <c r="H157" s="89"/>
      <c r="I157" s="81">
        <v>1679</v>
      </c>
      <c r="J157" s="79"/>
      <c r="K157" s="79"/>
      <c r="L157" s="79"/>
      <c r="M157" s="79"/>
      <c r="N157" s="79"/>
    </row>
    <row r="158" spans="1:14" ht="12">
      <c r="A158" s="89" t="s">
        <v>448</v>
      </c>
      <c r="B158" s="89"/>
      <c r="C158" s="89"/>
      <c r="D158" s="89"/>
      <c r="E158" s="89"/>
      <c r="F158" s="89"/>
      <c r="G158" s="89"/>
      <c r="H158" s="89"/>
      <c r="I158" s="81">
        <v>13423</v>
      </c>
      <c r="J158" s="79"/>
      <c r="K158" s="79"/>
      <c r="L158" s="79"/>
      <c r="M158" s="79"/>
      <c r="N158" s="79"/>
    </row>
    <row r="159" spans="1:14" ht="12">
      <c r="A159" s="89" t="s">
        <v>449</v>
      </c>
      <c r="B159" s="89"/>
      <c r="C159" s="89"/>
      <c r="D159" s="89"/>
      <c r="E159" s="89"/>
      <c r="F159" s="89"/>
      <c r="G159" s="89"/>
      <c r="H159" s="89"/>
      <c r="I159" s="81">
        <v>11216</v>
      </c>
      <c r="J159" s="79"/>
      <c r="K159" s="79"/>
      <c r="L159" s="79"/>
      <c r="M159" s="79"/>
      <c r="N159" s="79"/>
    </row>
    <row r="160" spans="1:14" ht="12">
      <c r="A160" s="89" t="s">
        <v>450</v>
      </c>
      <c r="B160" s="89"/>
      <c r="C160" s="89"/>
      <c r="D160" s="89"/>
      <c r="E160" s="89"/>
      <c r="F160" s="89"/>
      <c r="G160" s="89"/>
      <c r="H160" s="89"/>
      <c r="I160" s="81">
        <v>6054</v>
      </c>
      <c r="J160" s="79"/>
      <c r="K160" s="79"/>
      <c r="L160" s="79"/>
      <c r="M160" s="79"/>
      <c r="N160" s="79"/>
    </row>
    <row r="161" spans="1:14" ht="24">
      <c r="A161" s="91" t="s">
        <v>752</v>
      </c>
      <c r="B161" s="91"/>
      <c r="C161" s="91"/>
      <c r="D161" s="91"/>
      <c r="E161" s="91"/>
      <c r="F161" s="91"/>
      <c r="G161" s="91"/>
      <c r="H161" s="91"/>
      <c r="I161" s="81">
        <v>58741</v>
      </c>
      <c r="J161" s="79"/>
      <c r="K161" s="79"/>
      <c r="L161" s="79"/>
      <c r="M161" s="79"/>
      <c r="N161" s="79" t="s">
        <v>744</v>
      </c>
    </row>
    <row r="162" spans="1:14" ht="17.25" customHeight="1">
      <c r="A162" s="91" t="s">
        <v>753</v>
      </c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</row>
    <row r="163" spans="1:14" ht="132">
      <c r="A163" s="77">
        <v>74</v>
      </c>
      <c r="B163" s="78" t="s">
        <v>754</v>
      </c>
      <c r="C163" s="78" t="s">
        <v>755</v>
      </c>
      <c r="D163" s="77" t="s">
        <v>756</v>
      </c>
      <c r="E163" s="79" t="s">
        <v>757</v>
      </c>
      <c r="F163" s="79" t="s">
        <v>758</v>
      </c>
      <c r="G163" s="79">
        <v>7166.84</v>
      </c>
      <c r="H163" s="80" t="s">
        <v>759</v>
      </c>
      <c r="I163" s="81">
        <v>21863</v>
      </c>
      <c r="J163" s="79">
        <v>7403</v>
      </c>
      <c r="K163" s="79" t="s">
        <v>760</v>
      </c>
      <c r="L163" s="79" t="str">
        <f>IF(0.64*7166.84=0," ",TEXT(,ROUND((0.64*7166.84*3.14),2)))</f>
        <v>14402,48</v>
      </c>
      <c r="M163" s="79" t="s">
        <v>761</v>
      </c>
      <c r="N163" s="79" t="s">
        <v>762</v>
      </c>
    </row>
    <row r="164" spans="1:14" ht="132">
      <c r="A164" s="77">
        <v>75</v>
      </c>
      <c r="B164" s="78" t="s">
        <v>695</v>
      </c>
      <c r="C164" s="78" t="s">
        <v>696</v>
      </c>
      <c r="D164" s="77">
        <v>0.1852</v>
      </c>
      <c r="E164" s="79" t="s">
        <v>697</v>
      </c>
      <c r="F164" s="79">
        <v>63.24</v>
      </c>
      <c r="G164" s="79">
        <v>1404.64</v>
      </c>
      <c r="H164" s="80" t="s">
        <v>698</v>
      </c>
      <c r="I164" s="81">
        <v>3626</v>
      </c>
      <c r="J164" s="79">
        <v>971</v>
      </c>
      <c r="K164" s="79">
        <v>125</v>
      </c>
      <c r="L164" s="79" t="str">
        <f>IF(0.1852*1404.64=0," ",TEXT(,ROUND((0.1852*1404.64*9.73),2)))</f>
        <v>2531,16</v>
      </c>
      <c r="M164" s="79">
        <v>36.777</v>
      </c>
      <c r="N164" s="79">
        <v>6.81</v>
      </c>
    </row>
    <row r="165" spans="1:14" ht="60">
      <c r="A165" s="77">
        <v>76</v>
      </c>
      <c r="B165" s="78" t="s">
        <v>699</v>
      </c>
      <c r="C165" s="78" t="s">
        <v>700</v>
      </c>
      <c r="D165" s="77">
        <v>-0.0213</v>
      </c>
      <c r="E165" s="79">
        <v>7800</v>
      </c>
      <c r="F165" s="79"/>
      <c r="G165" s="79">
        <v>7800</v>
      </c>
      <c r="H165" s="80" t="s">
        <v>701</v>
      </c>
      <c r="I165" s="81">
        <v>-1987</v>
      </c>
      <c r="J165" s="79"/>
      <c r="K165" s="79"/>
      <c r="L165" s="79" t="str">
        <f>IF(-0.0213*7800=0," ",TEXT(,ROUND((-0.0213*7800*11.969),2)))</f>
        <v>-1988,53</v>
      </c>
      <c r="M165" s="79"/>
      <c r="N165" s="79"/>
    </row>
    <row r="166" spans="1:14" ht="48">
      <c r="A166" s="77">
        <v>77</v>
      </c>
      <c r="B166" s="78" t="s">
        <v>702</v>
      </c>
      <c r="C166" s="78" t="s">
        <v>703</v>
      </c>
      <c r="D166" s="77">
        <v>6.67</v>
      </c>
      <c r="E166" s="79">
        <v>2.44</v>
      </c>
      <c r="F166" s="79"/>
      <c r="G166" s="79">
        <v>2.44</v>
      </c>
      <c r="H166" s="80" t="s">
        <v>497</v>
      </c>
      <c r="I166" s="81">
        <v>89</v>
      </c>
      <c r="J166" s="79"/>
      <c r="K166" s="79"/>
      <c r="L166" s="79" t="str">
        <f>IF(6.67*2.44=0," ",TEXT(,ROUND((6.67*2.44*5.58),2)))</f>
        <v>90,81</v>
      </c>
      <c r="M166" s="79"/>
      <c r="N166" s="79"/>
    </row>
    <row r="167" spans="1:14" ht="60">
      <c r="A167" s="77">
        <v>78</v>
      </c>
      <c r="B167" s="78" t="s">
        <v>705</v>
      </c>
      <c r="C167" s="78" t="s">
        <v>706</v>
      </c>
      <c r="D167" s="77" t="s">
        <v>763</v>
      </c>
      <c r="E167" s="79">
        <v>22020</v>
      </c>
      <c r="F167" s="79"/>
      <c r="G167" s="79">
        <v>22020</v>
      </c>
      <c r="H167" s="80" t="s">
        <v>708</v>
      </c>
      <c r="I167" s="81">
        <v>421</v>
      </c>
      <c r="J167" s="79"/>
      <c r="K167" s="79"/>
      <c r="L167" s="79" t="str">
        <f>IF(0.01246*22020=0," ",TEXT(,ROUND((0.01246*22020*1.537),2)))</f>
        <v>421,71</v>
      </c>
      <c r="M167" s="79"/>
      <c r="N167" s="79"/>
    </row>
    <row r="168" spans="1:14" ht="144">
      <c r="A168" s="77">
        <v>79</v>
      </c>
      <c r="B168" s="78" t="s">
        <v>764</v>
      </c>
      <c r="C168" s="78" t="s">
        <v>765</v>
      </c>
      <c r="D168" s="77">
        <v>1.11</v>
      </c>
      <c r="E168" s="79" t="s">
        <v>766</v>
      </c>
      <c r="F168" s="79">
        <v>71.44</v>
      </c>
      <c r="G168" s="79">
        <v>1320.96</v>
      </c>
      <c r="H168" s="80" t="s">
        <v>767</v>
      </c>
      <c r="I168" s="81">
        <v>9819</v>
      </c>
      <c r="J168" s="79">
        <v>3866</v>
      </c>
      <c r="K168" s="79">
        <v>895</v>
      </c>
      <c r="L168" s="79" t="str">
        <f>IF(1.11*1320.96=0," ",TEXT(,ROUND((1.11*1320.96*3.45),2)))</f>
        <v>5058,62</v>
      </c>
      <c r="M168" s="79">
        <v>21.6775</v>
      </c>
      <c r="N168" s="79">
        <v>24.06</v>
      </c>
    </row>
    <row r="169" spans="1:14" ht="60">
      <c r="A169" s="77">
        <v>80</v>
      </c>
      <c r="B169" s="78" t="s">
        <v>768</v>
      </c>
      <c r="C169" s="78" t="s">
        <v>769</v>
      </c>
      <c r="D169" s="77">
        <v>-1.709</v>
      </c>
      <c r="E169" s="79">
        <v>542.4</v>
      </c>
      <c r="F169" s="79"/>
      <c r="G169" s="79">
        <v>542.4</v>
      </c>
      <c r="H169" s="80" t="s">
        <v>770</v>
      </c>
      <c r="I169" s="81">
        <v>-3173</v>
      </c>
      <c r="J169" s="79"/>
      <c r="K169" s="79"/>
      <c r="L169" s="79" t="str">
        <f>IF(-1.709*542.4=0," ",TEXT(,ROUND((-1.709*542.4*3.423),2)))</f>
        <v>-3172,99</v>
      </c>
      <c r="M169" s="79"/>
      <c r="N169" s="79"/>
    </row>
    <row r="170" spans="1:14" ht="48">
      <c r="A170" s="77">
        <v>81</v>
      </c>
      <c r="B170" s="78" t="s">
        <v>771</v>
      </c>
      <c r="C170" s="78" t="s">
        <v>772</v>
      </c>
      <c r="D170" s="77" t="s">
        <v>773</v>
      </c>
      <c r="E170" s="79">
        <v>11.52</v>
      </c>
      <c r="F170" s="79"/>
      <c r="G170" s="79">
        <v>11.52</v>
      </c>
      <c r="H170" s="80" t="s">
        <v>497</v>
      </c>
      <c r="I170" s="81">
        <v>1468</v>
      </c>
      <c r="J170" s="79"/>
      <c r="K170" s="79"/>
      <c r="L170" s="79" t="str">
        <f>IF(22.866*11.52=0," ",TEXT(,ROUND((22.866*11.52*5.58),2)))</f>
        <v>1469,86</v>
      </c>
      <c r="M170" s="79"/>
      <c r="N170" s="79"/>
    </row>
    <row r="171" spans="1:14" ht="132">
      <c r="A171" s="77">
        <v>82</v>
      </c>
      <c r="B171" s="78" t="s">
        <v>774</v>
      </c>
      <c r="C171" s="78" t="s">
        <v>775</v>
      </c>
      <c r="D171" s="77" t="s">
        <v>776</v>
      </c>
      <c r="E171" s="79" t="s">
        <v>777</v>
      </c>
      <c r="F171" s="79">
        <v>1211.33</v>
      </c>
      <c r="G171" s="79">
        <v>12722.28</v>
      </c>
      <c r="H171" s="80" t="s">
        <v>778</v>
      </c>
      <c r="I171" s="81">
        <v>4256</v>
      </c>
      <c r="J171" s="79">
        <v>1316</v>
      </c>
      <c r="K171" s="79">
        <v>453</v>
      </c>
      <c r="L171" s="79" t="str">
        <f>IF(0.048*12722.28=0," ",TEXT(,ROUND((0.048*12722.28*4.07),2)))</f>
        <v>2485,42</v>
      </c>
      <c r="M171" s="79">
        <v>170.798</v>
      </c>
      <c r="N171" s="79">
        <v>8.2</v>
      </c>
    </row>
    <row r="172" spans="1:14" ht="60">
      <c r="A172" s="77">
        <v>83</v>
      </c>
      <c r="B172" s="78" t="s">
        <v>779</v>
      </c>
      <c r="C172" s="78" t="s">
        <v>780</v>
      </c>
      <c r="D172" s="77">
        <v>-0.0021</v>
      </c>
      <c r="E172" s="79">
        <v>11000</v>
      </c>
      <c r="F172" s="79"/>
      <c r="G172" s="79">
        <v>11000</v>
      </c>
      <c r="H172" s="80" t="s">
        <v>781</v>
      </c>
      <c r="I172" s="81">
        <v>-85</v>
      </c>
      <c r="J172" s="79"/>
      <c r="K172" s="79"/>
      <c r="L172" s="79" t="str">
        <f>IF(-0.0021*11000=0," ",TEXT(,ROUND((-0.0021*11000*3.713),2)))</f>
        <v>-85,77</v>
      </c>
      <c r="M172" s="79"/>
      <c r="N172" s="79"/>
    </row>
    <row r="173" spans="1:14" ht="72">
      <c r="A173" s="77">
        <v>84</v>
      </c>
      <c r="B173" s="78" t="s">
        <v>484</v>
      </c>
      <c r="C173" s="78" t="s">
        <v>485</v>
      </c>
      <c r="D173" s="77" t="s">
        <v>782</v>
      </c>
      <c r="E173" s="79">
        <v>11200</v>
      </c>
      <c r="F173" s="79"/>
      <c r="G173" s="79">
        <v>11200</v>
      </c>
      <c r="H173" s="80" t="s">
        <v>486</v>
      </c>
      <c r="I173" s="81">
        <v>864</v>
      </c>
      <c r="J173" s="79"/>
      <c r="K173" s="79"/>
      <c r="L173" s="79" t="str">
        <f>IF(0.020815*11200=0," ",TEXT(,ROUND((0.020815*11200*3.707),2)))</f>
        <v>864,21</v>
      </c>
      <c r="M173" s="79"/>
      <c r="N173" s="79"/>
    </row>
    <row r="174" spans="1:14" ht="24">
      <c r="A174" s="89" t="s">
        <v>430</v>
      </c>
      <c r="B174" s="89"/>
      <c r="C174" s="89"/>
      <c r="D174" s="89"/>
      <c r="E174" s="89"/>
      <c r="F174" s="89"/>
      <c r="G174" s="89"/>
      <c r="H174" s="89"/>
      <c r="I174" s="81">
        <v>7572</v>
      </c>
      <c r="J174" s="79">
        <v>824</v>
      </c>
      <c r="K174" s="79" t="s">
        <v>783</v>
      </c>
      <c r="L174" s="79">
        <v>6594</v>
      </c>
      <c r="M174" s="79"/>
      <c r="N174" s="79" t="s">
        <v>784</v>
      </c>
    </row>
    <row r="175" spans="1:14" ht="24">
      <c r="A175" s="89" t="s">
        <v>433</v>
      </c>
      <c r="B175" s="89"/>
      <c r="C175" s="89"/>
      <c r="D175" s="89"/>
      <c r="E175" s="89"/>
      <c r="F175" s="89"/>
      <c r="G175" s="89"/>
      <c r="H175" s="89"/>
      <c r="I175" s="81">
        <v>37161</v>
      </c>
      <c r="J175" s="79">
        <v>13556</v>
      </c>
      <c r="K175" s="79" t="s">
        <v>785</v>
      </c>
      <c r="L175" s="79">
        <v>22075</v>
      </c>
      <c r="M175" s="79"/>
      <c r="N175" s="79" t="s">
        <v>784</v>
      </c>
    </row>
    <row r="176" spans="1:14" ht="12">
      <c r="A176" s="89" t="s">
        <v>435</v>
      </c>
      <c r="B176" s="89"/>
      <c r="C176" s="89"/>
      <c r="D176" s="89"/>
      <c r="E176" s="89"/>
      <c r="F176" s="89"/>
      <c r="G176" s="89"/>
      <c r="H176" s="89"/>
      <c r="I176" s="81">
        <v>12009</v>
      </c>
      <c r="J176" s="79"/>
      <c r="K176" s="79"/>
      <c r="L176" s="79"/>
      <c r="M176" s="79"/>
      <c r="N176" s="79"/>
    </row>
    <row r="177" spans="1:14" ht="12">
      <c r="A177" s="89" t="s">
        <v>436</v>
      </c>
      <c r="B177" s="89"/>
      <c r="C177" s="89"/>
      <c r="D177" s="89"/>
      <c r="E177" s="89"/>
      <c r="F177" s="89"/>
      <c r="G177" s="89"/>
      <c r="H177" s="89"/>
      <c r="I177" s="81">
        <v>7108</v>
      </c>
      <c r="J177" s="79"/>
      <c r="K177" s="79"/>
      <c r="L177" s="79"/>
      <c r="M177" s="79"/>
      <c r="N177" s="79"/>
    </row>
    <row r="178" spans="1:14" ht="12">
      <c r="A178" s="91" t="s">
        <v>786</v>
      </c>
      <c r="B178" s="91"/>
      <c r="C178" s="91"/>
      <c r="D178" s="91"/>
      <c r="E178" s="91"/>
      <c r="F178" s="91"/>
      <c r="G178" s="91"/>
      <c r="H178" s="91"/>
      <c r="I178" s="81"/>
      <c r="J178" s="79"/>
      <c r="K178" s="79"/>
      <c r="L178" s="79"/>
      <c r="M178" s="79"/>
      <c r="N178" s="79"/>
    </row>
    <row r="179" spans="1:14" ht="24" customHeight="1">
      <c r="A179" s="89" t="s">
        <v>669</v>
      </c>
      <c r="B179" s="89"/>
      <c r="C179" s="89"/>
      <c r="D179" s="89"/>
      <c r="E179" s="89"/>
      <c r="F179" s="89"/>
      <c r="G179" s="89"/>
      <c r="H179" s="89"/>
      <c r="I179" s="81">
        <v>33289</v>
      </c>
      <c r="J179" s="79"/>
      <c r="K179" s="79"/>
      <c r="L179" s="79"/>
      <c r="M179" s="79"/>
      <c r="N179" s="79" t="s">
        <v>762</v>
      </c>
    </row>
    <row r="180" spans="1:14" ht="12">
      <c r="A180" s="89" t="s">
        <v>749</v>
      </c>
      <c r="B180" s="89"/>
      <c r="C180" s="89"/>
      <c r="D180" s="89"/>
      <c r="E180" s="89"/>
      <c r="F180" s="89"/>
      <c r="G180" s="89"/>
      <c r="H180" s="89"/>
      <c r="I180" s="81">
        <v>25392</v>
      </c>
      <c r="J180" s="79"/>
      <c r="K180" s="79"/>
      <c r="L180" s="79"/>
      <c r="M180" s="79"/>
      <c r="N180" s="79">
        <v>39.07</v>
      </c>
    </row>
    <row r="181" spans="1:14" ht="12">
      <c r="A181" s="89" t="s">
        <v>668</v>
      </c>
      <c r="B181" s="89"/>
      <c r="C181" s="89"/>
      <c r="D181" s="89"/>
      <c r="E181" s="89"/>
      <c r="F181" s="89"/>
      <c r="G181" s="89"/>
      <c r="H181" s="89"/>
      <c r="I181" s="81">
        <v>-2403</v>
      </c>
      <c r="J181" s="79"/>
      <c r="K181" s="79"/>
      <c r="L181" s="79"/>
      <c r="M181" s="79"/>
      <c r="N181" s="79"/>
    </row>
    <row r="182" spans="1:14" ht="24">
      <c r="A182" s="89" t="s">
        <v>445</v>
      </c>
      <c r="B182" s="89"/>
      <c r="C182" s="89"/>
      <c r="D182" s="89"/>
      <c r="E182" s="89"/>
      <c r="F182" s="89"/>
      <c r="G182" s="89"/>
      <c r="H182" s="89"/>
      <c r="I182" s="81">
        <v>56278</v>
      </c>
      <c r="J182" s="79"/>
      <c r="K182" s="79"/>
      <c r="L182" s="79"/>
      <c r="M182" s="79"/>
      <c r="N182" s="79" t="s">
        <v>784</v>
      </c>
    </row>
    <row r="183" spans="1:14" ht="12">
      <c r="A183" s="89" t="s">
        <v>446</v>
      </c>
      <c r="B183" s="89"/>
      <c r="C183" s="89"/>
      <c r="D183" s="89"/>
      <c r="E183" s="89"/>
      <c r="F183" s="89"/>
      <c r="G183" s="89"/>
      <c r="H183" s="89"/>
      <c r="I183" s="81"/>
      <c r="J183" s="79"/>
      <c r="K183" s="79"/>
      <c r="L183" s="79"/>
      <c r="M183" s="79"/>
      <c r="N183" s="79"/>
    </row>
    <row r="184" spans="1:14" ht="12">
      <c r="A184" s="89" t="s">
        <v>676</v>
      </c>
      <c r="B184" s="89"/>
      <c r="C184" s="89"/>
      <c r="D184" s="89"/>
      <c r="E184" s="89"/>
      <c r="F184" s="89"/>
      <c r="G184" s="89"/>
      <c r="H184" s="89"/>
      <c r="I184" s="81">
        <v>22075</v>
      </c>
      <c r="J184" s="79"/>
      <c r="K184" s="79"/>
      <c r="L184" s="79"/>
      <c r="M184" s="79"/>
      <c r="N184" s="79"/>
    </row>
    <row r="185" spans="1:14" ht="12">
      <c r="A185" s="89" t="s">
        <v>447</v>
      </c>
      <c r="B185" s="89"/>
      <c r="C185" s="89"/>
      <c r="D185" s="89"/>
      <c r="E185" s="89"/>
      <c r="F185" s="89"/>
      <c r="G185" s="89"/>
      <c r="H185" s="89"/>
      <c r="I185" s="81">
        <v>1530</v>
      </c>
      <c r="J185" s="79"/>
      <c r="K185" s="79"/>
      <c r="L185" s="79"/>
      <c r="M185" s="79"/>
      <c r="N185" s="79"/>
    </row>
    <row r="186" spans="1:14" ht="12">
      <c r="A186" s="89" t="s">
        <v>448</v>
      </c>
      <c r="B186" s="89"/>
      <c r="C186" s="89"/>
      <c r="D186" s="89"/>
      <c r="E186" s="89"/>
      <c r="F186" s="89"/>
      <c r="G186" s="89"/>
      <c r="H186" s="89"/>
      <c r="I186" s="81">
        <v>13572</v>
      </c>
      <c r="J186" s="79"/>
      <c r="K186" s="79"/>
      <c r="L186" s="79"/>
      <c r="M186" s="79"/>
      <c r="N186" s="79"/>
    </row>
    <row r="187" spans="1:14" ht="12">
      <c r="A187" s="89" t="s">
        <v>449</v>
      </c>
      <c r="B187" s="89"/>
      <c r="C187" s="89"/>
      <c r="D187" s="89"/>
      <c r="E187" s="89"/>
      <c r="F187" s="89"/>
      <c r="G187" s="89"/>
      <c r="H187" s="89"/>
      <c r="I187" s="81">
        <v>12009</v>
      </c>
      <c r="J187" s="79"/>
      <c r="K187" s="79"/>
      <c r="L187" s="79"/>
      <c r="M187" s="79"/>
      <c r="N187" s="79"/>
    </row>
    <row r="188" spans="1:14" ht="12">
      <c r="A188" s="89" t="s">
        <v>450</v>
      </c>
      <c r="B188" s="89"/>
      <c r="C188" s="89"/>
      <c r="D188" s="89"/>
      <c r="E188" s="89"/>
      <c r="F188" s="89"/>
      <c r="G188" s="89"/>
      <c r="H188" s="89"/>
      <c r="I188" s="81">
        <v>7108</v>
      </c>
      <c r="J188" s="79"/>
      <c r="K188" s="79"/>
      <c r="L188" s="79"/>
      <c r="M188" s="79"/>
      <c r="N188" s="79"/>
    </row>
    <row r="189" spans="1:14" ht="24">
      <c r="A189" s="91" t="s">
        <v>787</v>
      </c>
      <c r="B189" s="91"/>
      <c r="C189" s="91"/>
      <c r="D189" s="91"/>
      <c r="E189" s="91"/>
      <c r="F189" s="91"/>
      <c r="G189" s="91"/>
      <c r="H189" s="91"/>
      <c r="I189" s="81">
        <v>56278</v>
      </c>
      <c r="J189" s="79"/>
      <c r="K189" s="79"/>
      <c r="L189" s="79"/>
      <c r="M189" s="79"/>
      <c r="N189" s="79" t="s">
        <v>784</v>
      </c>
    </row>
    <row r="190" spans="1:14" ht="17.25" customHeight="1">
      <c r="A190" s="91" t="s">
        <v>788</v>
      </c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</row>
    <row r="191" spans="1:14" ht="60">
      <c r="A191" s="77">
        <v>85</v>
      </c>
      <c r="B191" s="78" t="s">
        <v>789</v>
      </c>
      <c r="C191" s="78" t="s">
        <v>790</v>
      </c>
      <c r="D191" s="77" t="s">
        <v>791</v>
      </c>
      <c r="E191" s="79" t="s">
        <v>792</v>
      </c>
      <c r="F191" s="79"/>
      <c r="G191" s="79">
        <v>8.02</v>
      </c>
      <c r="H191" s="80" t="s">
        <v>793</v>
      </c>
      <c r="I191" s="81">
        <v>9032</v>
      </c>
      <c r="J191" s="79">
        <v>9015</v>
      </c>
      <c r="K191" s="79"/>
      <c r="L191" s="79" t="str">
        <f>IF(0.584*8.02=0," ",TEXT(,ROUND((0.584*8.02*3.39),2)))</f>
        <v>15,88</v>
      </c>
      <c r="M191" s="79">
        <v>108.7</v>
      </c>
      <c r="N191" s="79">
        <v>63.48</v>
      </c>
    </row>
    <row r="192" spans="1:14" ht="36">
      <c r="A192" s="77">
        <v>86</v>
      </c>
      <c r="B192" s="78" t="s">
        <v>794</v>
      </c>
      <c r="C192" s="78" t="s">
        <v>795</v>
      </c>
      <c r="D192" s="77">
        <v>58.4</v>
      </c>
      <c r="E192" s="79">
        <v>72.9</v>
      </c>
      <c r="F192" s="79"/>
      <c r="G192" s="79">
        <v>72.9</v>
      </c>
      <c r="H192" s="80" t="s">
        <v>497</v>
      </c>
      <c r="I192" s="81">
        <v>23754</v>
      </c>
      <c r="J192" s="79"/>
      <c r="K192" s="79"/>
      <c r="L192" s="79" t="str">
        <f>IF(58.4*72.9=0," ",TEXT(,ROUND((58.4*72.9*5.58),2)))</f>
        <v>23756,07</v>
      </c>
      <c r="M192" s="79"/>
      <c r="N192" s="79"/>
    </row>
    <row r="193" spans="1:14" ht="36">
      <c r="A193" s="77">
        <v>87</v>
      </c>
      <c r="B193" s="78" t="s">
        <v>794</v>
      </c>
      <c r="C193" s="78" t="s">
        <v>796</v>
      </c>
      <c r="D193" s="77">
        <v>24</v>
      </c>
      <c r="E193" s="79">
        <v>65</v>
      </c>
      <c r="F193" s="79"/>
      <c r="G193" s="79">
        <v>65</v>
      </c>
      <c r="H193" s="80" t="s">
        <v>497</v>
      </c>
      <c r="I193" s="81">
        <v>8705</v>
      </c>
      <c r="J193" s="79"/>
      <c r="K193" s="79"/>
      <c r="L193" s="79" t="str">
        <f>IF(24*65=0," ",TEXT(,ROUND((24*65*5.58),2)))</f>
        <v>8704,8</v>
      </c>
      <c r="M193" s="79"/>
      <c r="N193" s="79"/>
    </row>
    <row r="194" spans="1:14" ht="24">
      <c r="A194" s="77">
        <v>88</v>
      </c>
      <c r="B194" s="78" t="s">
        <v>794</v>
      </c>
      <c r="C194" s="78" t="s">
        <v>0</v>
      </c>
      <c r="D194" s="77">
        <v>8</v>
      </c>
      <c r="E194" s="79">
        <v>29.35</v>
      </c>
      <c r="F194" s="79"/>
      <c r="G194" s="79">
        <v>29.35</v>
      </c>
      <c r="H194" s="80" t="s">
        <v>497</v>
      </c>
      <c r="I194" s="81">
        <v>1311</v>
      </c>
      <c r="J194" s="79"/>
      <c r="K194" s="79"/>
      <c r="L194" s="79" t="str">
        <f>IF(8*29.35=0," ",TEXT(,ROUND((8*29.35*5.58),2)))</f>
        <v>1310,18</v>
      </c>
      <c r="M194" s="79"/>
      <c r="N194" s="79"/>
    </row>
    <row r="195" spans="1:14" ht="24">
      <c r="A195" s="77">
        <v>89</v>
      </c>
      <c r="B195" s="78" t="s">
        <v>794</v>
      </c>
      <c r="C195" s="78" t="s">
        <v>1</v>
      </c>
      <c r="D195" s="77">
        <v>8</v>
      </c>
      <c r="E195" s="79">
        <v>65</v>
      </c>
      <c r="F195" s="79"/>
      <c r="G195" s="79">
        <v>65</v>
      </c>
      <c r="H195" s="80" t="s">
        <v>497</v>
      </c>
      <c r="I195" s="81">
        <v>2902</v>
      </c>
      <c r="J195" s="79"/>
      <c r="K195" s="79"/>
      <c r="L195" s="79" t="str">
        <f>IF(8*65=0," ",TEXT(,ROUND((8*65*5.58),2)))</f>
        <v>2901,6</v>
      </c>
      <c r="M195" s="79"/>
      <c r="N195" s="79"/>
    </row>
    <row r="196" spans="1:14" ht="60">
      <c r="A196" s="77">
        <v>90</v>
      </c>
      <c r="B196" s="78" t="s">
        <v>2</v>
      </c>
      <c r="C196" s="78" t="s">
        <v>3</v>
      </c>
      <c r="D196" s="77">
        <v>72</v>
      </c>
      <c r="E196" s="79">
        <v>34.6</v>
      </c>
      <c r="F196" s="79"/>
      <c r="G196" s="79">
        <v>34.6</v>
      </c>
      <c r="H196" s="80" t="s">
        <v>4</v>
      </c>
      <c r="I196" s="81">
        <v>12002</v>
      </c>
      <c r="J196" s="79"/>
      <c r="K196" s="79"/>
      <c r="L196" s="79" t="str">
        <f>IF(72*34.6=0," ",TEXT(,ROUND((72*34.6*4.818),2)))</f>
        <v>12002,6</v>
      </c>
      <c r="M196" s="79"/>
      <c r="N196" s="79"/>
    </row>
    <row r="197" spans="1:14" ht="12">
      <c r="A197" s="89" t="s">
        <v>430</v>
      </c>
      <c r="B197" s="89"/>
      <c r="C197" s="89"/>
      <c r="D197" s="89"/>
      <c r="E197" s="89"/>
      <c r="F197" s="89"/>
      <c r="G197" s="89"/>
      <c r="H197" s="89"/>
      <c r="I197" s="81">
        <v>9616</v>
      </c>
      <c r="J197" s="79">
        <v>548</v>
      </c>
      <c r="K197" s="79"/>
      <c r="L197" s="79">
        <v>9068</v>
      </c>
      <c r="M197" s="79"/>
      <c r="N197" s="79">
        <v>63.48</v>
      </c>
    </row>
    <row r="198" spans="1:14" ht="12">
      <c r="A198" s="89" t="s">
        <v>433</v>
      </c>
      <c r="B198" s="89"/>
      <c r="C198" s="89"/>
      <c r="D198" s="89"/>
      <c r="E198" s="89"/>
      <c r="F198" s="89"/>
      <c r="G198" s="89"/>
      <c r="H198" s="89"/>
      <c r="I198" s="81">
        <v>57706</v>
      </c>
      <c r="J198" s="79">
        <v>9015</v>
      </c>
      <c r="K198" s="79"/>
      <c r="L198" s="79">
        <v>48691</v>
      </c>
      <c r="M198" s="79"/>
      <c r="N198" s="79">
        <v>63.48</v>
      </c>
    </row>
    <row r="199" spans="1:14" ht="12">
      <c r="A199" s="89" t="s">
        <v>435</v>
      </c>
      <c r="B199" s="89"/>
      <c r="C199" s="89"/>
      <c r="D199" s="89"/>
      <c r="E199" s="89"/>
      <c r="F199" s="89"/>
      <c r="G199" s="89"/>
      <c r="H199" s="89"/>
      <c r="I199" s="81">
        <v>6401</v>
      </c>
      <c r="J199" s="79"/>
      <c r="K199" s="79"/>
      <c r="L199" s="79"/>
      <c r="M199" s="79"/>
      <c r="N199" s="79"/>
    </row>
    <row r="200" spans="1:14" ht="12">
      <c r="A200" s="89" t="s">
        <v>436</v>
      </c>
      <c r="B200" s="89"/>
      <c r="C200" s="89"/>
      <c r="D200" s="89"/>
      <c r="E200" s="89"/>
      <c r="F200" s="89"/>
      <c r="G200" s="89"/>
      <c r="H200" s="89"/>
      <c r="I200" s="81">
        <v>4688</v>
      </c>
      <c r="J200" s="79"/>
      <c r="K200" s="79"/>
      <c r="L200" s="79"/>
      <c r="M200" s="79"/>
      <c r="N200" s="79"/>
    </row>
    <row r="201" spans="1:14" ht="12">
      <c r="A201" s="91" t="s">
        <v>5</v>
      </c>
      <c r="B201" s="91"/>
      <c r="C201" s="91"/>
      <c r="D201" s="91"/>
      <c r="E201" s="91"/>
      <c r="F201" s="91"/>
      <c r="G201" s="91"/>
      <c r="H201" s="91"/>
      <c r="I201" s="81"/>
      <c r="J201" s="79"/>
      <c r="K201" s="79"/>
      <c r="L201" s="79"/>
      <c r="M201" s="79"/>
      <c r="N201" s="79"/>
    </row>
    <row r="202" spans="1:14" ht="12">
      <c r="A202" s="89" t="s">
        <v>440</v>
      </c>
      <c r="B202" s="89"/>
      <c r="C202" s="89"/>
      <c r="D202" s="89"/>
      <c r="E202" s="89"/>
      <c r="F202" s="89"/>
      <c r="G202" s="89"/>
      <c r="H202" s="89"/>
      <c r="I202" s="81">
        <v>20121</v>
      </c>
      <c r="J202" s="79"/>
      <c r="K202" s="79"/>
      <c r="L202" s="79"/>
      <c r="M202" s="79"/>
      <c r="N202" s="79">
        <v>63.48</v>
      </c>
    </row>
    <row r="203" spans="1:14" ht="12">
      <c r="A203" s="89" t="s">
        <v>668</v>
      </c>
      <c r="B203" s="89"/>
      <c r="C203" s="89"/>
      <c r="D203" s="89"/>
      <c r="E203" s="89"/>
      <c r="F203" s="89"/>
      <c r="G203" s="89"/>
      <c r="H203" s="89"/>
      <c r="I203" s="81">
        <v>48674</v>
      </c>
      <c r="J203" s="79"/>
      <c r="K203" s="79"/>
      <c r="L203" s="79"/>
      <c r="M203" s="79"/>
      <c r="N203" s="79"/>
    </row>
    <row r="204" spans="1:14" ht="12">
      <c r="A204" s="89" t="s">
        <v>445</v>
      </c>
      <c r="B204" s="89"/>
      <c r="C204" s="89"/>
      <c r="D204" s="89"/>
      <c r="E204" s="89"/>
      <c r="F204" s="89"/>
      <c r="G204" s="89"/>
      <c r="H204" s="89"/>
      <c r="I204" s="81">
        <v>68795</v>
      </c>
      <c r="J204" s="79"/>
      <c r="K204" s="79"/>
      <c r="L204" s="79"/>
      <c r="M204" s="79"/>
      <c r="N204" s="79">
        <v>63.48</v>
      </c>
    </row>
    <row r="205" spans="1:14" ht="12">
      <c r="A205" s="89" t="s">
        <v>446</v>
      </c>
      <c r="B205" s="89"/>
      <c r="C205" s="89"/>
      <c r="D205" s="89"/>
      <c r="E205" s="89"/>
      <c r="F205" s="89"/>
      <c r="G205" s="89"/>
      <c r="H205" s="89"/>
      <c r="I205" s="81"/>
      <c r="J205" s="79"/>
      <c r="K205" s="79"/>
      <c r="L205" s="79"/>
      <c r="M205" s="79"/>
      <c r="N205" s="79"/>
    </row>
    <row r="206" spans="1:14" ht="12">
      <c r="A206" s="89" t="s">
        <v>676</v>
      </c>
      <c r="B206" s="89"/>
      <c r="C206" s="89"/>
      <c r="D206" s="89"/>
      <c r="E206" s="89"/>
      <c r="F206" s="89"/>
      <c r="G206" s="89"/>
      <c r="H206" s="89"/>
      <c r="I206" s="81">
        <v>48691</v>
      </c>
      <c r="J206" s="79"/>
      <c r="K206" s="79"/>
      <c r="L206" s="79"/>
      <c r="M206" s="79"/>
      <c r="N206" s="79"/>
    </row>
    <row r="207" spans="1:14" ht="12">
      <c r="A207" s="89" t="s">
        <v>448</v>
      </c>
      <c r="B207" s="89"/>
      <c r="C207" s="89"/>
      <c r="D207" s="89"/>
      <c r="E207" s="89"/>
      <c r="F207" s="89"/>
      <c r="G207" s="89"/>
      <c r="H207" s="89"/>
      <c r="I207" s="81">
        <v>9015</v>
      </c>
      <c r="J207" s="79"/>
      <c r="K207" s="79"/>
      <c r="L207" s="79"/>
      <c r="M207" s="79"/>
      <c r="N207" s="79"/>
    </row>
    <row r="208" spans="1:14" ht="12">
      <c r="A208" s="89" t="s">
        <v>449</v>
      </c>
      <c r="B208" s="89"/>
      <c r="C208" s="89"/>
      <c r="D208" s="89"/>
      <c r="E208" s="89"/>
      <c r="F208" s="89"/>
      <c r="G208" s="89"/>
      <c r="H208" s="89"/>
      <c r="I208" s="81">
        <v>6401</v>
      </c>
      <c r="J208" s="79"/>
      <c r="K208" s="79"/>
      <c r="L208" s="79"/>
      <c r="M208" s="79"/>
      <c r="N208" s="79"/>
    </row>
    <row r="209" spans="1:14" ht="12">
      <c r="A209" s="89" t="s">
        <v>450</v>
      </c>
      <c r="B209" s="89"/>
      <c r="C209" s="89"/>
      <c r="D209" s="89"/>
      <c r="E209" s="89"/>
      <c r="F209" s="89"/>
      <c r="G209" s="89"/>
      <c r="H209" s="89"/>
      <c r="I209" s="81">
        <v>4688</v>
      </c>
      <c r="J209" s="79"/>
      <c r="K209" s="79"/>
      <c r="L209" s="79"/>
      <c r="M209" s="79"/>
      <c r="N209" s="79"/>
    </row>
    <row r="210" spans="1:14" ht="12">
      <c r="A210" s="91" t="s">
        <v>6</v>
      </c>
      <c r="B210" s="91"/>
      <c r="C210" s="91"/>
      <c r="D210" s="91"/>
      <c r="E210" s="91"/>
      <c r="F210" s="91"/>
      <c r="G210" s="91"/>
      <c r="H210" s="91"/>
      <c r="I210" s="81">
        <v>68795</v>
      </c>
      <c r="J210" s="79"/>
      <c r="K210" s="79"/>
      <c r="L210" s="79"/>
      <c r="M210" s="79"/>
      <c r="N210" s="79">
        <v>63.48</v>
      </c>
    </row>
    <row r="211" spans="1:14" ht="17.25" customHeight="1">
      <c r="A211" s="91" t="s">
        <v>7</v>
      </c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</row>
    <row r="212" spans="1:14" ht="144">
      <c r="A212" s="77">
        <v>91</v>
      </c>
      <c r="B212" s="78" t="s">
        <v>8</v>
      </c>
      <c r="C212" s="78" t="s">
        <v>9</v>
      </c>
      <c r="D212" s="77">
        <v>2</v>
      </c>
      <c r="E212" s="79" t="s">
        <v>10</v>
      </c>
      <c r="F212" s="79"/>
      <c r="G212" s="79">
        <v>4.93</v>
      </c>
      <c r="H212" s="80" t="s">
        <v>11</v>
      </c>
      <c r="I212" s="81">
        <v>8166</v>
      </c>
      <c r="J212" s="79">
        <v>8110</v>
      </c>
      <c r="K212" s="79"/>
      <c r="L212" s="79" t="str">
        <f>IF(2*4.93=0," ",TEXT(,ROUND((2*4.93*5.58),2)))</f>
        <v>55,02</v>
      </c>
      <c r="M212" s="79">
        <v>23.8</v>
      </c>
      <c r="N212" s="79">
        <v>47.6</v>
      </c>
    </row>
    <row r="213" spans="1:14" ht="12">
      <c r="A213" s="89" t="s">
        <v>430</v>
      </c>
      <c r="B213" s="89"/>
      <c r="C213" s="89"/>
      <c r="D213" s="89"/>
      <c r="E213" s="89"/>
      <c r="F213" s="89"/>
      <c r="G213" s="89"/>
      <c r="H213" s="89"/>
      <c r="I213" s="81">
        <v>503</v>
      </c>
      <c r="J213" s="79">
        <v>493</v>
      </c>
      <c r="K213" s="79"/>
      <c r="L213" s="79">
        <v>10</v>
      </c>
      <c r="M213" s="79"/>
      <c r="N213" s="79">
        <v>47.6</v>
      </c>
    </row>
    <row r="214" spans="1:14" ht="12">
      <c r="A214" s="89" t="s">
        <v>433</v>
      </c>
      <c r="B214" s="89"/>
      <c r="C214" s="89"/>
      <c r="D214" s="89"/>
      <c r="E214" s="89"/>
      <c r="F214" s="89"/>
      <c r="G214" s="89"/>
      <c r="H214" s="89"/>
      <c r="I214" s="81">
        <v>8166</v>
      </c>
      <c r="J214" s="79">
        <v>8110</v>
      </c>
      <c r="K214" s="79"/>
      <c r="L214" s="79">
        <v>56</v>
      </c>
      <c r="M214" s="79"/>
      <c r="N214" s="79">
        <v>47.6</v>
      </c>
    </row>
    <row r="215" spans="1:14" ht="12">
      <c r="A215" s="89" t="s">
        <v>435</v>
      </c>
      <c r="B215" s="89"/>
      <c r="C215" s="89"/>
      <c r="D215" s="89"/>
      <c r="E215" s="89"/>
      <c r="F215" s="89"/>
      <c r="G215" s="89"/>
      <c r="H215" s="89"/>
      <c r="I215" s="81">
        <v>6326</v>
      </c>
      <c r="J215" s="79"/>
      <c r="K215" s="79"/>
      <c r="L215" s="79"/>
      <c r="M215" s="79"/>
      <c r="N215" s="79"/>
    </row>
    <row r="216" spans="1:14" ht="12">
      <c r="A216" s="89" t="s">
        <v>436</v>
      </c>
      <c r="B216" s="89"/>
      <c r="C216" s="89"/>
      <c r="D216" s="89"/>
      <c r="E216" s="89"/>
      <c r="F216" s="89"/>
      <c r="G216" s="89"/>
      <c r="H216" s="89"/>
      <c r="I216" s="81">
        <v>4217</v>
      </c>
      <c r="J216" s="79"/>
      <c r="K216" s="79"/>
      <c r="L216" s="79"/>
      <c r="M216" s="79"/>
      <c r="N216" s="79"/>
    </row>
    <row r="217" spans="1:14" ht="12">
      <c r="A217" s="91" t="s">
        <v>12</v>
      </c>
      <c r="B217" s="91"/>
      <c r="C217" s="91"/>
      <c r="D217" s="91"/>
      <c r="E217" s="91"/>
      <c r="F217" s="91"/>
      <c r="G217" s="91"/>
      <c r="H217" s="91"/>
      <c r="I217" s="81"/>
      <c r="J217" s="79"/>
      <c r="K217" s="79"/>
      <c r="L217" s="79"/>
      <c r="M217" s="79"/>
      <c r="N217" s="79"/>
    </row>
    <row r="218" spans="1:14" ht="12">
      <c r="A218" s="89" t="s">
        <v>13</v>
      </c>
      <c r="B218" s="89"/>
      <c r="C218" s="89"/>
      <c r="D218" s="89"/>
      <c r="E218" s="89"/>
      <c r="F218" s="89"/>
      <c r="G218" s="89"/>
      <c r="H218" s="89"/>
      <c r="I218" s="81">
        <v>18709</v>
      </c>
      <c r="J218" s="79"/>
      <c r="K218" s="79"/>
      <c r="L218" s="79"/>
      <c r="M218" s="79"/>
      <c r="N218" s="79">
        <v>47.6</v>
      </c>
    </row>
    <row r="219" spans="1:14" ht="12">
      <c r="A219" s="89" t="s">
        <v>445</v>
      </c>
      <c r="B219" s="89"/>
      <c r="C219" s="89"/>
      <c r="D219" s="89"/>
      <c r="E219" s="89"/>
      <c r="F219" s="89"/>
      <c r="G219" s="89"/>
      <c r="H219" s="89"/>
      <c r="I219" s="81">
        <v>18709</v>
      </c>
      <c r="J219" s="79"/>
      <c r="K219" s="79"/>
      <c r="L219" s="79"/>
      <c r="M219" s="79"/>
      <c r="N219" s="79">
        <v>47.6</v>
      </c>
    </row>
    <row r="220" spans="1:14" ht="12">
      <c r="A220" s="89" t="s">
        <v>446</v>
      </c>
      <c r="B220" s="89"/>
      <c r="C220" s="89"/>
      <c r="D220" s="89"/>
      <c r="E220" s="89"/>
      <c r="F220" s="89"/>
      <c r="G220" s="89"/>
      <c r="H220" s="89"/>
      <c r="I220" s="81"/>
      <c r="J220" s="79"/>
      <c r="K220" s="79"/>
      <c r="L220" s="79"/>
      <c r="M220" s="79"/>
      <c r="N220" s="79"/>
    </row>
    <row r="221" spans="1:14" ht="12">
      <c r="A221" s="89" t="s">
        <v>676</v>
      </c>
      <c r="B221" s="89"/>
      <c r="C221" s="89"/>
      <c r="D221" s="89"/>
      <c r="E221" s="89"/>
      <c r="F221" s="89"/>
      <c r="G221" s="89"/>
      <c r="H221" s="89"/>
      <c r="I221" s="81">
        <v>56</v>
      </c>
      <c r="J221" s="79"/>
      <c r="K221" s="79"/>
      <c r="L221" s="79"/>
      <c r="M221" s="79"/>
      <c r="N221" s="79"/>
    </row>
    <row r="222" spans="1:14" ht="12">
      <c r="A222" s="89" t="s">
        <v>448</v>
      </c>
      <c r="B222" s="89"/>
      <c r="C222" s="89"/>
      <c r="D222" s="89"/>
      <c r="E222" s="89"/>
      <c r="F222" s="89"/>
      <c r="G222" s="89"/>
      <c r="H222" s="89"/>
      <c r="I222" s="81">
        <v>8110</v>
      </c>
      <c r="J222" s="79"/>
      <c r="K222" s="79"/>
      <c r="L222" s="79"/>
      <c r="M222" s="79"/>
      <c r="N222" s="79"/>
    </row>
    <row r="223" spans="1:14" ht="12">
      <c r="A223" s="89" t="s">
        <v>449</v>
      </c>
      <c r="B223" s="89"/>
      <c r="C223" s="89"/>
      <c r="D223" s="89"/>
      <c r="E223" s="89"/>
      <c r="F223" s="89"/>
      <c r="G223" s="89"/>
      <c r="H223" s="89"/>
      <c r="I223" s="81">
        <v>6326</v>
      </c>
      <c r="J223" s="79"/>
      <c r="K223" s="79"/>
      <c r="L223" s="79"/>
      <c r="M223" s="79"/>
      <c r="N223" s="79"/>
    </row>
    <row r="224" spans="1:14" ht="12">
      <c r="A224" s="89" t="s">
        <v>450</v>
      </c>
      <c r="B224" s="89"/>
      <c r="C224" s="89"/>
      <c r="D224" s="89"/>
      <c r="E224" s="89"/>
      <c r="F224" s="89"/>
      <c r="G224" s="89"/>
      <c r="H224" s="89"/>
      <c r="I224" s="81">
        <v>4217</v>
      </c>
      <c r="J224" s="79"/>
      <c r="K224" s="79"/>
      <c r="L224" s="79"/>
      <c r="M224" s="79"/>
      <c r="N224" s="79"/>
    </row>
    <row r="225" spans="1:14" ht="12">
      <c r="A225" s="91" t="s">
        <v>14</v>
      </c>
      <c r="B225" s="91"/>
      <c r="C225" s="91"/>
      <c r="D225" s="91"/>
      <c r="E225" s="91"/>
      <c r="F225" s="91"/>
      <c r="G225" s="91"/>
      <c r="H225" s="91"/>
      <c r="I225" s="81">
        <v>18709</v>
      </c>
      <c r="J225" s="79"/>
      <c r="K225" s="79"/>
      <c r="L225" s="79"/>
      <c r="M225" s="79"/>
      <c r="N225" s="79">
        <v>47.6</v>
      </c>
    </row>
    <row r="226" spans="1:14" ht="17.25" customHeight="1">
      <c r="A226" s="91" t="s">
        <v>15</v>
      </c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</row>
    <row r="227" spans="1:14" ht="192">
      <c r="A227" s="77">
        <v>92</v>
      </c>
      <c r="B227" s="78" t="s">
        <v>16</v>
      </c>
      <c r="C227" s="78" t="s">
        <v>17</v>
      </c>
      <c r="D227" s="77">
        <v>9.78</v>
      </c>
      <c r="E227" s="79">
        <v>76.88</v>
      </c>
      <c r="F227" s="79">
        <v>76.88</v>
      </c>
      <c r="G227" s="79"/>
      <c r="H227" s="80" t="s">
        <v>18</v>
      </c>
      <c r="I227" s="81">
        <v>8588</v>
      </c>
      <c r="J227" s="79"/>
      <c r="K227" s="79">
        <v>8588</v>
      </c>
      <c r="L227" s="79" t="str">
        <f>IF(9.78*0=0," ",TEXT(,ROUND((9.78*0*1),2)))</f>
        <v> </v>
      </c>
      <c r="M227" s="79"/>
      <c r="N227" s="79"/>
    </row>
    <row r="228" spans="1:14" ht="192">
      <c r="A228" s="77">
        <v>93</v>
      </c>
      <c r="B228" s="78" t="s">
        <v>19</v>
      </c>
      <c r="C228" s="78" t="s">
        <v>20</v>
      </c>
      <c r="D228" s="77">
        <v>0.261</v>
      </c>
      <c r="E228" s="79">
        <v>90.45</v>
      </c>
      <c r="F228" s="79">
        <v>90.45</v>
      </c>
      <c r="G228" s="79"/>
      <c r="H228" s="80" t="s">
        <v>21</v>
      </c>
      <c r="I228" s="81">
        <v>274</v>
      </c>
      <c r="J228" s="79"/>
      <c r="K228" s="79">
        <v>274</v>
      </c>
      <c r="L228" s="79" t="str">
        <f>IF(0.261*0=0," ",TEXT(,ROUND((0.261*0*1),2)))</f>
        <v> </v>
      </c>
      <c r="M228" s="79"/>
      <c r="N228" s="79"/>
    </row>
    <row r="229" spans="1:14" ht="192">
      <c r="A229" s="77">
        <v>94</v>
      </c>
      <c r="B229" s="78" t="s">
        <v>22</v>
      </c>
      <c r="C229" s="78" t="s">
        <v>23</v>
      </c>
      <c r="D229" s="77">
        <v>0.022</v>
      </c>
      <c r="E229" s="79">
        <v>127.09</v>
      </c>
      <c r="F229" s="79">
        <v>127.09</v>
      </c>
      <c r="G229" s="79"/>
      <c r="H229" s="80" t="s">
        <v>24</v>
      </c>
      <c r="I229" s="81">
        <v>34</v>
      </c>
      <c r="J229" s="79"/>
      <c r="K229" s="79">
        <v>34</v>
      </c>
      <c r="L229" s="79" t="str">
        <f>IF(0.022*0=0," ",TEXT(,ROUND((0.022*0*1),2)))</f>
        <v> </v>
      </c>
      <c r="M229" s="79"/>
      <c r="N229" s="79"/>
    </row>
    <row r="230" spans="1:14" ht="192">
      <c r="A230" s="77">
        <v>95</v>
      </c>
      <c r="B230" s="78" t="s">
        <v>25</v>
      </c>
      <c r="C230" s="78" t="s">
        <v>26</v>
      </c>
      <c r="D230" s="77">
        <v>0.183</v>
      </c>
      <c r="E230" s="79">
        <v>170.85</v>
      </c>
      <c r="F230" s="79">
        <v>170.85</v>
      </c>
      <c r="G230" s="79"/>
      <c r="H230" s="80" t="s">
        <v>27</v>
      </c>
      <c r="I230" s="81">
        <v>354</v>
      </c>
      <c r="J230" s="79"/>
      <c r="K230" s="79">
        <v>354</v>
      </c>
      <c r="L230" s="79" t="str">
        <f>IF(0.183*0=0," ",TEXT(,ROUND((0.183*0*1),2)))</f>
        <v> </v>
      </c>
      <c r="M230" s="79"/>
      <c r="N230" s="79"/>
    </row>
    <row r="231" spans="1:14" ht="12">
      <c r="A231" s="89" t="s">
        <v>430</v>
      </c>
      <c r="B231" s="89"/>
      <c r="C231" s="89"/>
      <c r="D231" s="89"/>
      <c r="E231" s="89"/>
      <c r="F231" s="89"/>
      <c r="G231" s="89"/>
      <c r="H231" s="89"/>
      <c r="I231" s="81">
        <v>810</v>
      </c>
      <c r="J231" s="79"/>
      <c r="K231" s="79">
        <v>810</v>
      </c>
      <c r="L231" s="79"/>
      <c r="M231" s="79"/>
      <c r="N231" s="79"/>
    </row>
    <row r="232" spans="1:14" ht="12">
      <c r="A232" s="89" t="s">
        <v>433</v>
      </c>
      <c r="B232" s="89"/>
      <c r="C232" s="89"/>
      <c r="D232" s="89"/>
      <c r="E232" s="89"/>
      <c r="F232" s="89"/>
      <c r="G232" s="89"/>
      <c r="H232" s="89"/>
      <c r="I232" s="81">
        <v>9250</v>
      </c>
      <c r="J232" s="79"/>
      <c r="K232" s="79">
        <v>9250</v>
      </c>
      <c r="L232" s="79"/>
      <c r="M232" s="79"/>
      <c r="N232" s="79"/>
    </row>
    <row r="233" spans="1:14" ht="12">
      <c r="A233" s="91" t="s">
        <v>28</v>
      </c>
      <c r="B233" s="91"/>
      <c r="C233" s="91"/>
      <c r="D233" s="91"/>
      <c r="E233" s="91"/>
      <c r="F233" s="91"/>
      <c r="G233" s="91"/>
      <c r="H233" s="91"/>
      <c r="I233" s="81"/>
      <c r="J233" s="79"/>
      <c r="K233" s="79"/>
      <c r="L233" s="79"/>
      <c r="M233" s="79"/>
      <c r="N233" s="79"/>
    </row>
    <row r="234" spans="1:14" ht="12">
      <c r="A234" s="89" t="s">
        <v>444</v>
      </c>
      <c r="B234" s="89"/>
      <c r="C234" s="89"/>
      <c r="D234" s="89"/>
      <c r="E234" s="89"/>
      <c r="F234" s="89"/>
      <c r="G234" s="89"/>
      <c r="H234" s="89"/>
      <c r="I234" s="81">
        <v>9250</v>
      </c>
      <c r="J234" s="79"/>
      <c r="K234" s="79"/>
      <c r="L234" s="79"/>
      <c r="M234" s="79"/>
      <c r="N234" s="79"/>
    </row>
    <row r="235" spans="1:14" ht="12">
      <c r="A235" s="89" t="s">
        <v>445</v>
      </c>
      <c r="B235" s="89"/>
      <c r="C235" s="89"/>
      <c r="D235" s="89"/>
      <c r="E235" s="89"/>
      <c r="F235" s="89"/>
      <c r="G235" s="89"/>
      <c r="H235" s="89"/>
      <c r="I235" s="81">
        <v>9250</v>
      </c>
      <c r="J235" s="79"/>
      <c r="K235" s="79"/>
      <c r="L235" s="79"/>
      <c r="M235" s="79"/>
      <c r="N235" s="79"/>
    </row>
    <row r="236" spans="1:14" ht="12">
      <c r="A236" s="89" t="s">
        <v>446</v>
      </c>
      <c r="B236" s="89"/>
      <c r="C236" s="89"/>
      <c r="D236" s="89"/>
      <c r="E236" s="89"/>
      <c r="F236" s="89"/>
      <c r="G236" s="89"/>
      <c r="H236" s="89"/>
      <c r="I236" s="81"/>
      <c r="J236" s="79"/>
      <c r="K236" s="79"/>
      <c r="L236" s="79"/>
      <c r="M236" s="79"/>
      <c r="N236" s="79"/>
    </row>
    <row r="237" spans="1:14" ht="12">
      <c r="A237" s="89" t="s">
        <v>447</v>
      </c>
      <c r="B237" s="89"/>
      <c r="C237" s="89"/>
      <c r="D237" s="89"/>
      <c r="E237" s="89"/>
      <c r="F237" s="89"/>
      <c r="G237" s="89"/>
      <c r="H237" s="89"/>
      <c r="I237" s="81">
        <v>9250</v>
      </c>
      <c r="J237" s="79"/>
      <c r="K237" s="79"/>
      <c r="L237" s="79"/>
      <c r="M237" s="79"/>
      <c r="N237" s="79"/>
    </row>
    <row r="238" spans="1:14" ht="12">
      <c r="A238" s="91" t="s">
        <v>29</v>
      </c>
      <c r="B238" s="91"/>
      <c r="C238" s="91"/>
      <c r="D238" s="91"/>
      <c r="E238" s="91"/>
      <c r="F238" s="91"/>
      <c r="G238" s="91"/>
      <c r="H238" s="91"/>
      <c r="I238" s="81">
        <v>9250</v>
      </c>
      <c r="J238" s="79"/>
      <c r="K238" s="79"/>
      <c r="L238" s="79"/>
      <c r="M238" s="79"/>
      <c r="N238" s="79"/>
    </row>
    <row r="239" spans="1:14" ht="24">
      <c r="A239" s="88" t="s">
        <v>30</v>
      </c>
      <c r="B239" s="89"/>
      <c r="C239" s="89"/>
      <c r="D239" s="89"/>
      <c r="E239" s="89"/>
      <c r="F239" s="89"/>
      <c r="G239" s="89"/>
      <c r="H239" s="89"/>
      <c r="I239" s="82">
        <v>157787</v>
      </c>
      <c r="J239" s="82">
        <v>14290</v>
      </c>
      <c r="K239" s="82" t="s">
        <v>31</v>
      </c>
      <c r="L239" s="82">
        <v>137972</v>
      </c>
      <c r="M239" s="82"/>
      <c r="N239" s="82" t="s">
        <v>32</v>
      </c>
    </row>
    <row r="240" spans="1:14" ht="24">
      <c r="A240" s="88" t="s">
        <v>33</v>
      </c>
      <c r="B240" s="89"/>
      <c r="C240" s="89"/>
      <c r="D240" s="89"/>
      <c r="E240" s="89"/>
      <c r="F240" s="89"/>
      <c r="G240" s="89"/>
      <c r="H240" s="89"/>
      <c r="I240" s="82">
        <v>956749</v>
      </c>
      <c r="J240" s="82">
        <v>235072</v>
      </c>
      <c r="K240" s="82" t="s">
        <v>34</v>
      </c>
      <c r="L240" s="82">
        <v>663892</v>
      </c>
      <c r="M240" s="82"/>
      <c r="N240" s="82" t="s">
        <v>32</v>
      </c>
    </row>
    <row r="241" spans="1:14" ht="12">
      <c r="A241" s="88" t="s">
        <v>435</v>
      </c>
      <c r="B241" s="89"/>
      <c r="C241" s="89"/>
      <c r="D241" s="89"/>
      <c r="E241" s="89"/>
      <c r="F241" s="89"/>
      <c r="G241" s="89"/>
      <c r="H241" s="89"/>
      <c r="I241" s="82">
        <v>203279</v>
      </c>
      <c r="J241" s="82"/>
      <c r="K241" s="82"/>
      <c r="L241" s="82"/>
      <c r="M241" s="82"/>
      <c r="N241" s="82"/>
    </row>
    <row r="242" spans="1:14" ht="12">
      <c r="A242" s="88" t="s">
        <v>436</v>
      </c>
      <c r="B242" s="89"/>
      <c r="C242" s="89"/>
      <c r="D242" s="89"/>
      <c r="E242" s="89"/>
      <c r="F242" s="89"/>
      <c r="G242" s="89"/>
      <c r="H242" s="89"/>
      <c r="I242" s="82">
        <v>112994</v>
      </c>
      <c r="J242" s="82"/>
      <c r="K242" s="82"/>
      <c r="L242" s="82"/>
      <c r="M242" s="82"/>
      <c r="N242" s="82"/>
    </row>
    <row r="243" spans="1:14" ht="12">
      <c r="A243" s="90" t="s">
        <v>35</v>
      </c>
      <c r="B243" s="91"/>
      <c r="C243" s="91"/>
      <c r="D243" s="91"/>
      <c r="E243" s="91"/>
      <c r="F243" s="91"/>
      <c r="G243" s="91"/>
      <c r="H243" s="91"/>
      <c r="I243" s="82"/>
      <c r="J243" s="82"/>
      <c r="K243" s="82"/>
      <c r="L243" s="82"/>
      <c r="M243" s="82"/>
      <c r="N243" s="82"/>
    </row>
    <row r="244" spans="1:14" ht="24">
      <c r="A244" s="88" t="s">
        <v>36</v>
      </c>
      <c r="B244" s="89"/>
      <c r="C244" s="89"/>
      <c r="D244" s="89"/>
      <c r="E244" s="89"/>
      <c r="F244" s="89"/>
      <c r="G244" s="89"/>
      <c r="H244" s="89"/>
      <c r="I244" s="82">
        <v>1254313</v>
      </c>
      <c r="J244" s="82"/>
      <c r="K244" s="82"/>
      <c r="L244" s="82"/>
      <c r="M244" s="82"/>
      <c r="N244" s="82" t="s">
        <v>37</v>
      </c>
    </row>
    <row r="245" spans="1:14" ht="12">
      <c r="A245" s="88" t="s">
        <v>38</v>
      </c>
      <c r="B245" s="89"/>
      <c r="C245" s="89"/>
      <c r="D245" s="89"/>
      <c r="E245" s="89"/>
      <c r="F245" s="89"/>
      <c r="G245" s="89"/>
      <c r="H245" s="89"/>
      <c r="I245" s="82">
        <v>18709</v>
      </c>
      <c r="J245" s="82"/>
      <c r="K245" s="82"/>
      <c r="L245" s="82"/>
      <c r="M245" s="82"/>
      <c r="N245" s="82">
        <v>47.6</v>
      </c>
    </row>
    <row r="246" spans="1:14" ht="24">
      <c r="A246" s="88" t="s">
        <v>445</v>
      </c>
      <c r="B246" s="89"/>
      <c r="C246" s="89"/>
      <c r="D246" s="89"/>
      <c r="E246" s="89"/>
      <c r="F246" s="89"/>
      <c r="G246" s="89"/>
      <c r="H246" s="89"/>
      <c r="I246" s="82">
        <v>1273022</v>
      </c>
      <c r="J246" s="82"/>
      <c r="K246" s="82"/>
      <c r="L246" s="82"/>
      <c r="M246" s="82"/>
      <c r="N246" s="82" t="s">
        <v>32</v>
      </c>
    </row>
    <row r="247" spans="1:14" ht="12">
      <c r="A247" s="88" t="s">
        <v>446</v>
      </c>
      <c r="B247" s="89"/>
      <c r="C247" s="89"/>
      <c r="D247" s="89"/>
      <c r="E247" s="89"/>
      <c r="F247" s="89"/>
      <c r="G247" s="89"/>
      <c r="H247" s="89"/>
      <c r="I247" s="82"/>
      <c r="J247" s="82"/>
      <c r="K247" s="82"/>
      <c r="L247" s="82"/>
      <c r="M247" s="82"/>
      <c r="N247" s="82"/>
    </row>
    <row r="248" spans="1:14" ht="12">
      <c r="A248" s="88" t="s">
        <v>676</v>
      </c>
      <c r="B248" s="89"/>
      <c r="C248" s="89"/>
      <c r="D248" s="89"/>
      <c r="E248" s="89"/>
      <c r="F248" s="89"/>
      <c r="G248" s="89"/>
      <c r="H248" s="89"/>
      <c r="I248" s="82">
        <v>663892</v>
      </c>
      <c r="J248" s="82"/>
      <c r="K248" s="82"/>
      <c r="L248" s="82"/>
      <c r="M248" s="82"/>
      <c r="N248" s="82"/>
    </row>
    <row r="249" spans="1:14" ht="12">
      <c r="A249" s="88" t="s">
        <v>447</v>
      </c>
      <c r="B249" s="89"/>
      <c r="C249" s="89"/>
      <c r="D249" s="89"/>
      <c r="E249" s="89"/>
      <c r="F249" s="89"/>
      <c r="G249" s="89"/>
      <c r="H249" s="89"/>
      <c r="I249" s="82">
        <v>57785</v>
      </c>
      <c r="J249" s="82"/>
      <c r="K249" s="82"/>
      <c r="L249" s="82"/>
      <c r="M249" s="82"/>
      <c r="N249" s="82"/>
    </row>
    <row r="250" spans="1:14" ht="12">
      <c r="A250" s="88" t="s">
        <v>448</v>
      </c>
      <c r="B250" s="89"/>
      <c r="C250" s="89"/>
      <c r="D250" s="89"/>
      <c r="E250" s="89"/>
      <c r="F250" s="89"/>
      <c r="G250" s="89"/>
      <c r="H250" s="89"/>
      <c r="I250" s="82">
        <v>239579</v>
      </c>
      <c r="J250" s="82"/>
      <c r="K250" s="82"/>
      <c r="L250" s="82"/>
      <c r="M250" s="82"/>
      <c r="N250" s="82"/>
    </row>
    <row r="251" spans="1:14" ht="12">
      <c r="A251" s="88" t="s">
        <v>449</v>
      </c>
      <c r="B251" s="89"/>
      <c r="C251" s="89"/>
      <c r="D251" s="89"/>
      <c r="E251" s="89"/>
      <c r="F251" s="89"/>
      <c r="G251" s="89"/>
      <c r="H251" s="89"/>
      <c r="I251" s="82">
        <v>203279</v>
      </c>
      <c r="J251" s="82"/>
      <c r="K251" s="82"/>
      <c r="L251" s="82"/>
      <c r="M251" s="82"/>
      <c r="N251" s="82"/>
    </row>
    <row r="252" spans="1:14" ht="12">
      <c r="A252" s="88" t="s">
        <v>450</v>
      </c>
      <c r="B252" s="89"/>
      <c r="C252" s="89"/>
      <c r="D252" s="89"/>
      <c r="E252" s="89"/>
      <c r="F252" s="89"/>
      <c r="G252" s="89"/>
      <c r="H252" s="89"/>
      <c r="I252" s="82">
        <v>112994</v>
      </c>
      <c r="J252" s="82"/>
      <c r="K252" s="82"/>
      <c r="L252" s="82"/>
      <c r="M252" s="82"/>
      <c r="N252" s="82"/>
    </row>
    <row r="253" spans="1:14" ht="24">
      <c r="A253" s="90" t="s">
        <v>39</v>
      </c>
      <c r="B253" s="91"/>
      <c r="C253" s="91"/>
      <c r="D253" s="91"/>
      <c r="E253" s="91"/>
      <c r="F253" s="91"/>
      <c r="G253" s="91"/>
      <c r="H253" s="91"/>
      <c r="I253" s="82">
        <v>1273022</v>
      </c>
      <c r="J253" s="82"/>
      <c r="K253" s="82"/>
      <c r="L253" s="82"/>
      <c r="M253" s="82"/>
      <c r="N253" s="82" t="s">
        <v>32</v>
      </c>
    </row>
    <row r="254" spans="1:13" ht="12">
      <c r="A254" s="83"/>
      <c r="B254" s="84"/>
      <c r="C254" s="84"/>
      <c r="D254" s="83"/>
      <c r="E254" s="70"/>
      <c r="F254" s="70"/>
      <c r="G254" s="70"/>
      <c r="H254" s="70"/>
      <c r="I254" s="85"/>
      <c r="J254" s="70"/>
      <c r="K254" s="70"/>
      <c r="L254" s="70"/>
      <c r="M254" s="70"/>
    </row>
    <row r="255" spans="1:13" ht="12">
      <c r="A255" s="83"/>
      <c r="B255" s="84"/>
      <c r="C255" s="84"/>
      <c r="D255" s="83"/>
      <c r="E255" s="70"/>
      <c r="F255" s="70"/>
      <c r="G255" s="70"/>
      <c r="H255" s="70"/>
      <c r="I255" s="85"/>
      <c r="J255" s="70"/>
      <c r="K255" s="70"/>
      <c r="L255" s="70"/>
      <c r="M255" s="70"/>
    </row>
    <row r="256" spans="1:13" ht="12">
      <c r="A256" s="83"/>
      <c r="B256" s="84"/>
      <c r="C256" s="86" t="s">
        <v>797</v>
      </c>
      <c r="D256" s="83"/>
      <c r="E256" s="70"/>
      <c r="F256" s="86" t="s">
        <v>360</v>
      </c>
      <c r="G256" s="86"/>
      <c r="H256" s="86"/>
      <c r="I256" s="70"/>
      <c r="J256" s="70"/>
      <c r="K256" s="70"/>
      <c r="L256" s="70"/>
      <c r="M256" s="70"/>
    </row>
    <row r="284" ht="12"/>
    <row r="285" ht="12"/>
    <row r="286" ht="12"/>
  </sheetData>
  <sheetProtection/>
  <mergeCells count="157">
    <mergeCell ref="N17:N18"/>
    <mergeCell ref="A15:A18"/>
    <mergeCell ref="D15:D18"/>
    <mergeCell ref="C15:C18"/>
    <mergeCell ref="B15:B18"/>
    <mergeCell ref="I12:L14"/>
    <mergeCell ref="I15:L16"/>
    <mergeCell ref="M17:M18"/>
    <mergeCell ref="H15:H18"/>
    <mergeCell ref="I17:I18"/>
    <mergeCell ref="J17:J18"/>
    <mergeCell ref="L17:L18"/>
    <mergeCell ref="A20:N20"/>
    <mergeCell ref="A33:H33"/>
    <mergeCell ref="A34:H34"/>
    <mergeCell ref="A35:H35"/>
    <mergeCell ref="A10:N10"/>
    <mergeCell ref="C11:E11"/>
    <mergeCell ref="D12:E12"/>
    <mergeCell ref="G17:G18"/>
    <mergeCell ref="M15:N16"/>
    <mergeCell ref="E15:G16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N50"/>
    <mergeCell ref="A52:N52"/>
    <mergeCell ref="A44:H44"/>
    <mergeCell ref="A45:H45"/>
    <mergeCell ref="A46:H46"/>
    <mergeCell ref="A47:H47"/>
    <mergeCell ref="A90:N90"/>
    <mergeCell ref="A95:N95"/>
    <mergeCell ref="A100:N100"/>
    <mergeCell ref="A105:H105"/>
    <mergeCell ref="A66:N66"/>
    <mergeCell ref="A69:N69"/>
    <mergeCell ref="A71:N71"/>
    <mergeCell ref="A83:N83"/>
    <mergeCell ref="A110:H110"/>
    <mergeCell ref="A111:H111"/>
    <mergeCell ref="A112:H112"/>
    <mergeCell ref="A113:H113"/>
    <mergeCell ref="A106:H106"/>
    <mergeCell ref="A107:H107"/>
    <mergeCell ref="A108:H108"/>
    <mergeCell ref="A109:H109"/>
    <mergeCell ref="A118:H118"/>
    <mergeCell ref="A119:H119"/>
    <mergeCell ref="A120:H120"/>
    <mergeCell ref="A121:H121"/>
    <mergeCell ref="A114:H114"/>
    <mergeCell ref="A115:H115"/>
    <mergeCell ref="A116:H116"/>
    <mergeCell ref="A117:H117"/>
    <mergeCell ref="A126:N126"/>
    <mergeCell ref="A142:H142"/>
    <mergeCell ref="A143:H143"/>
    <mergeCell ref="A144:H144"/>
    <mergeCell ref="A122:H122"/>
    <mergeCell ref="A123:H123"/>
    <mergeCell ref="A124:H124"/>
    <mergeCell ref="A125:H125"/>
    <mergeCell ref="A149:H149"/>
    <mergeCell ref="A150:H150"/>
    <mergeCell ref="A151:H151"/>
    <mergeCell ref="A152:H152"/>
    <mergeCell ref="A145:H145"/>
    <mergeCell ref="A146:H146"/>
    <mergeCell ref="A147:H147"/>
    <mergeCell ref="A148:H148"/>
    <mergeCell ref="A157:H157"/>
    <mergeCell ref="A158:H158"/>
    <mergeCell ref="A159:H159"/>
    <mergeCell ref="A160:H160"/>
    <mergeCell ref="A153:H153"/>
    <mergeCell ref="A154:H154"/>
    <mergeCell ref="A155:H155"/>
    <mergeCell ref="A156:H156"/>
    <mergeCell ref="A176:H176"/>
    <mergeCell ref="A177:H177"/>
    <mergeCell ref="A178:H178"/>
    <mergeCell ref="A179:H179"/>
    <mergeCell ref="A161:H161"/>
    <mergeCell ref="A162:N162"/>
    <mergeCell ref="A174:H174"/>
    <mergeCell ref="A175:H175"/>
    <mergeCell ref="A184:H184"/>
    <mergeCell ref="A185:H185"/>
    <mergeCell ref="A186:H186"/>
    <mergeCell ref="A187:H187"/>
    <mergeCell ref="A180:H180"/>
    <mergeCell ref="A181:H181"/>
    <mergeCell ref="A182:H182"/>
    <mergeCell ref="A183:H183"/>
    <mergeCell ref="A198:H198"/>
    <mergeCell ref="A199:H199"/>
    <mergeCell ref="A200:H200"/>
    <mergeCell ref="A201:H201"/>
    <mergeCell ref="A188:H188"/>
    <mergeCell ref="A189:H189"/>
    <mergeCell ref="A190:N190"/>
    <mergeCell ref="A197:H197"/>
    <mergeCell ref="A206:H206"/>
    <mergeCell ref="A207:H207"/>
    <mergeCell ref="A208:H208"/>
    <mergeCell ref="A209:H209"/>
    <mergeCell ref="A202:H202"/>
    <mergeCell ref="A203:H203"/>
    <mergeCell ref="A204:H204"/>
    <mergeCell ref="A205:H205"/>
    <mergeCell ref="A215:H215"/>
    <mergeCell ref="A216:H216"/>
    <mergeCell ref="A217:H217"/>
    <mergeCell ref="A218:H218"/>
    <mergeCell ref="A210:H210"/>
    <mergeCell ref="A211:N211"/>
    <mergeCell ref="A213:H213"/>
    <mergeCell ref="A214:H214"/>
    <mergeCell ref="A223:H223"/>
    <mergeCell ref="A224:H224"/>
    <mergeCell ref="A225:H225"/>
    <mergeCell ref="A226:N226"/>
    <mergeCell ref="A219:H219"/>
    <mergeCell ref="A220:H220"/>
    <mergeCell ref="A221:H221"/>
    <mergeCell ref="A222:H222"/>
    <mergeCell ref="A235:H235"/>
    <mergeCell ref="A236:H236"/>
    <mergeCell ref="A237:H237"/>
    <mergeCell ref="A238:H238"/>
    <mergeCell ref="A231:H231"/>
    <mergeCell ref="A232:H232"/>
    <mergeCell ref="A233:H233"/>
    <mergeCell ref="A234:H234"/>
    <mergeCell ref="A243:H243"/>
    <mergeCell ref="A244:H244"/>
    <mergeCell ref="A245:H245"/>
    <mergeCell ref="A246:H246"/>
    <mergeCell ref="A239:H239"/>
    <mergeCell ref="A240:H240"/>
    <mergeCell ref="A241:H241"/>
    <mergeCell ref="A242:H242"/>
    <mergeCell ref="A251:H251"/>
    <mergeCell ref="A252:H252"/>
    <mergeCell ref="A253:H253"/>
    <mergeCell ref="A247:H247"/>
    <mergeCell ref="A248:H248"/>
    <mergeCell ref="A249:H249"/>
    <mergeCell ref="A250:H250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275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213</v>
      </c>
      <c r="B4" s="17" t="s">
        <v>276</v>
      </c>
      <c r="C4" s="17" t="s">
        <v>213</v>
      </c>
      <c r="D4" s="18" t="s">
        <v>277</v>
      </c>
      <c r="E4" s="17" t="s">
        <v>213</v>
      </c>
      <c r="F4" s="19" t="s">
        <v>293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294</v>
      </c>
      <c r="C6" s="25">
        <v>1</v>
      </c>
      <c r="D6" s="27" t="s">
        <v>91</v>
      </c>
      <c r="E6" s="23">
        <v>1</v>
      </c>
      <c r="F6" s="24" t="s">
        <v>295</v>
      </c>
    </row>
    <row r="7" spans="1:6" ht="12.75">
      <c r="A7" s="25"/>
      <c r="B7" s="28"/>
      <c r="C7" s="25">
        <v>2</v>
      </c>
      <c r="D7" s="29" t="s">
        <v>214</v>
      </c>
      <c r="E7" s="23">
        <v>2</v>
      </c>
      <c r="F7" s="24" t="s">
        <v>296</v>
      </c>
    </row>
    <row r="8" spans="1:6" ht="12.75">
      <c r="A8" s="25">
        <v>1</v>
      </c>
      <c r="B8" s="30" t="s">
        <v>127</v>
      </c>
      <c r="C8" s="25">
        <v>3</v>
      </c>
      <c r="D8" s="29" t="s">
        <v>215</v>
      </c>
      <c r="E8" s="23">
        <v>3</v>
      </c>
      <c r="F8" s="24" t="s">
        <v>297</v>
      </c>
    </row>
    <row r="9" spans="1:6" ht="12.75">
      <c r="A9" s="31">
        <v>2</v>
      </c>
      <c r="B9" s="32" t="s">
        <v>128</v>
      </c>
      <c r="C9" s="25">
        <v>4</v>
      </c>
      <c r="D9" s="29" t="s">
        <v>216</v>
      </c>
      <c r="E9" s="23">
        <v>4</v>
      </c>
      <c r="F9" s="24" t="s">
        <v>298</v>
      </c>
    </row>
    <row r="10" spans="1:6" ht="12.75">
      <c r="A10" s="25">
        <v>3</v>
      </c>
      <c r="B10" s="30" t="s">
        <v>129</v>
      </c>
      <c r="C10" s="25">
        <v>5</v>
      </c>
      <c r="D10" s="29" t="s">
        <v>217</v>
      </c>
      <c r="E10" s="23">
        <v>5</v>
      </c>
      <c r="F10" s="24" t="s">
        <v>299</v>
      </c>
    </row>
    <row r="11" spans="1:6" ht="12.75">
      <c r="A11" s="31">
        <v>4</v>
      </c>
      <c r="B11" s="32" t="s">
        <v>130</v>
      </c>
      <c r="C11" s="25">
        <v>6</v>
      </c>
      <c r="D11" s="29" t="s">
        <v>218</v>
      </c>
      <c r="E11" s="23">
        <v>6</v>
      </c>
      <c r="F11" s="24" t="s">
        <v>300</v>
      </c>
    </row>
    <row r="12" spans="1:6" ht="12.75">
      <c r="A12" s="25">
        <v>5</v>
      </c>
      <c r="B12" s="32" t="s">
        <v>311</v>
      </c>
      <c r="D12" s="29"/>
      <c r="E12" s="23">
        <v>7</v>
      </c>
      <c r="F12" s="24" t="s">
        <v>301</v>
      </c>
    </row>
    <row r="13" spans="1:6" ht="12.75">
      <c r="A13" s="31">
        <v>6</v>
      </c>
      <c r="B13" s="32" t="s">
        <v>312</v>
      </c>
      <c r="C13" s="25">
        <v>7</v>
      </c>
      <c r="D13" s="27" t="s">
        <v>54</v>
      </c>
      <c r="E13" s="23">
        <v>8</v>
      </c>
      <c r="F13" s="24" t="s">
        <v>302</v>
      </c>
    </row>
    <row r="14" spans="1:6" ht="12.75">
      <c r="A14" s="25">
        <v>7</v>
      </c>
      <c r="B14" s="32" t="s">
        <v>313</v>
      </c>
      <c r="C14" s="25">
        <v>8</v>
      </c>
      <c r="D14" s="29" t="s">
        <v>219</v>
      </c>
      <c r="E14" s="23"/>
      <c r="F14" s="24"/>
    </row>
    <row r="15" spans="1:6" ht="12.75">
      <c r="A15" s="31">
        <v>8</v>
      </c>
      <c r="B15" s="32" t="s">
        <v>314</v>
      </c>
      <c r="C15" s="25">
        <v>9</v>
      </c>
      <c r="D15" s="29" t="s">
        <v>220</v>
      </c>
      <c r="E15" s="23"/>
      <c r="F15" s="24"/>
    </row>
    <row r="16" spans="1:6" ht="12.75">
      <c r="A16" s="25">
        <v>9</v>
      </c>
      <c r="B16" s="32" t="s">
        <v>315</v>
      </c>
      <c r="C16" s="25">
        <v>10</v>
      </c>
      <c r="D16" s="29" t="s">
        <v>221</v>
      </c>
      <c r="E16" s="23"/>
      <c r="F16" s="24"/>
    </row>
    <row r="17" spans="1:6" ht="12.75">
      <c r="A17" s="31">
        <v>10</v>
      </c>
      <c r="B17" s="32" t="s">
        <v>316</v>
      </c>
      <c r="C17" s="25">
        <v>11</v>
      </c>
      <c r="D17" s="29" t="s">
        <v>222</v>
      </c>
      <c r="E17" s="23"/>
      <c r="F17" s="24"/>
    </row>
    <row r="18" spans="1:6" ht="12.75">
      <c r="A18" s="25">
        <v>11</v>
      </c>
      <c r="B18" s="32" t="s">
        <v>317</v>
      </c>
      <c r="C18" s="25">
        <v>12</v>
      </c>
      <c r="D18" s="29" t="s">
        <v>223</v>
      </c>
      <c r="E18" s="23"/>
      <c r="F18" s="24"/>
    </row>
    <row r="19" spans="1:6" ht="12.75">
      <c r="A19" s="25">
        <v>12</v>
      </c>
      <c r="B19" s="32" t="s">
        <v>131</v>
      </c>
      <c r="D19" s="29"/>
      <c r="E19" s="23"/>
      <c r="F19" s="24"/>
    </row>
    <row r="20" spans="1:6" ht="12.75">
      <c r="A20" s="25">
        <v>13</v>
      </c>
      <c r="B20" s="30" t="s">
        <v>132</v>
      </c>
      <c r="C20" s="25">
        <v>13</v>
      </c>
      <c r="D20" s="27" t="s">
        <v>51</v>
      </c>
      <c r="E20" s="23"/>
      <c r="F20" s="24"/>
    </row>
    <row r="21" spans="1:6" ht="12.75">
      <c r="A21" s="25">
        <v>14</v>
      </c>
      <c r="B21" s="30" t="s">
        <v>133</v>
      </c>
      <c r="C21" s="25">
        <v>14</v>
      </c>
      <c r="D21" s="29" t="s">
        <v>224</v>
      </c>
      <c r="E21" s="23"/>
      <c r="F21" s="24"/>
    </row>
    <row r="22" spans="1:6" ht="12.75">
      <c r="A22" s="25">
        <v>15</v>
      </c>
      <c r="B22" s="30" t="s">
        <v>134</v>
      </c>
      <c r="C22" s="25">
        <v>15</v>
      </c>
      <c r="D22" s="29" t="s">
        <v>225</v>
      </c>
      <c r="E22" s="23"/>
      <c r="F22" s="24"/>
    </row>
    <row r="23" spans="1:6" ht="12.75">
      <c r="A23" s="25">
        <v>16</v>
      </c>
      <c r="B23" s="30" t="s">
        <v>303</v>
      </c>
      <c r="C23" s="25">
        <v>16</v>
      </c>
      <c r="D23" s="29" t="s">
        <v>226</v>
      </c>
      <c r="E23" s="23"/>
      <c r="F23" s="24"/>
    </row>
    <row r="24" spans="1:6" ht="12.75">
      <c r="A24" s="25">
        <v>17</v>
      </c>
      <c r="B24" s="30" t="s">
        <v>304</v>
      </c>
      <c r="C24" s="25">
        <v>17</v>
      </c>
      <c r="D24" s="29" t="s">
        <v>227</v>
      </c>
      <c r="E24" s="23"/>
      <c r="F24" s="24"/>
    </row>
    <row r="25" spans="1:6" ht="12.75">
      <c r="A25" s="25">
        <v>18</v>
      </c>
      <c r="B25" s="30" t="s">
        <v>305</v>
      </c>
      <c r="C25" s="25">
        <v>18</v>
      </c>
      <c r="D25" s="29" t="s">
        <v>228</v>
      </c>
      <c r="E25" s="23"/>
      <c r="F25" s="24"/>
    </row>
    <row r="26" spans="1:6" ht="12.75">
      <c r="A26" s="25">
        <v>19</v>
      </c>
      <c r="B26" s="32" t="s">
        <v>135</v>
      </c>
      <c r="D26" s="29"/>
      <c r="E26" s="23"/>
      <c r="F26" s="24"/>
    </row>
    <row r="27" spans="1:6" ht="12.75">
      <c r="A27" s="25">
        <v>20</v>
      </c>
      <c r="B27" s="30" t="s">
        <v>136</v>
      </c>
      <c r="C27" s="25">
        <v>19</v>
      </c>
      <c r="D27" s="27" t="s">
        <v>52</v>
      </c>
      <c r="E27" s="23"/>
      <c r="F27" s="24"/>
    </row>
    <row r="28" spans="1:6" ht="12.75">
      <c r="A28" s="25">
        <v>21</v>
      </c>
      <c r="B28" s="30" t="s">
        <v>137</v>
      </c>
      <c r="C28" s="25">
        <v>20</v>
      </c>
      <c r="D28" s="29" t="s">
        <v>229</v>
      </c>
      <c r="E28" s="23"/>
      <c r="F28" s="24"/>
    </row>
    <row r="29" spans="1:6" ht="12.75">
      <c r="A29" s="25">
        <v>22</v>
      </c>
      <c r="B29" s="30" t="s">
        <v>138</v>
      </c>
      <c r="C29" s="25">
        <v>21</v>
      </c>
      <c r="D29" s="29" t="s">
        <v>230</v>
      </c>
      <c r="E29" s="23"/>
      <c r="F29" s="24"/>
    </row>
    <row r="30" spans="1:6" ht="12.75">
      <c r="A30" s="25">
        <v>23</v>
      </c>
      <c r="B30" s="30" t="s">
        <v>139</v>
      </c>
      <c r="C30" s="25">
        <v>22</v>
      </c>
      <c r="D30" s="29" t="s">
        <v>231</v>
      </c>
      <c r="E30" s="23"/>
      <c r="F30" s="24"/>
    </row>
    <row r="31" spans="1:6" ht="12.75">
      <c r="A31" s="25">
        <v>24</v>
      </c>
      <c r="B31" s="32" t="s">
        <v>140</v>
      </c>
      <c r="C31" s="25">
        <v>23</v>
      </c>
      <c r="D31" s="29" t="s">
        <v>232</v>
      </c>
      <c r="E31" s="23"/>
      <c r="F31" s="24"/>
    </row>
    <row r="32" spans="1:6" ht="12.75">
      <c r="A32" s="25">
        <v>25</v>
      </c>
      <c r="B32" s="32" t="s">
        <v>141</v>
      </c>
      <c r="C32" s="25">
        <v>24</v>
      </c>
      <c r="D32" s="29" t="s">
        <v>233</v>
      </c>
      <c r="E32" s="23"/>
      <c r="F32" s="24"/>
    </row>
    <row r="33" spans="1:6" ht="12.75">
      <c r="A33" s="25">
        <v>26</v>
      </c>
      <c r="B33" s="32" t="s">
        <v>142</v>
      </c>
      <c r="D33" s="29"/>
      <c r="E33" s="23"/>
      <c r="F33" s="24"/>
    </row>
    <row r="34" spans="1:6" ht="12.75">
      <c r="A34" s="25">
        <v>27</v>
      </c>
      <c r="B34" s="32" t="s">
        <v>143</v>
      </c>
      <c r="C34" s="25">
        <v>25</v>
      </c>
      <c r="D34" s="27" t="s">
        <v>53</v>
      </c>
      <c r="E34" s="23"/>
      <c r="F34" s="24"/>
    </row>
    <row r="35" spans="1:6" ht="12.75">
      <c r="A35" s="25">
        <v>28</v>
      </c>
      <c r="B35" s="32" t="s">
        <v>144</v>
      </c>
      <c r="C35" s="25">
        <v>26</v>
      </c>
      <c r="D35" s="29" t="s">
        <v>234</v>
      </c>
      <c r="E35" s="23"/>
      <c r="F35" s="24"/>
    </row>
    <row r="36" spans="1:6" ht="12.75">
      <c r="A36" s="25">
        <v>29</v>
      </c>
      <c r="B36" s="32" t="s">
        <v>145</v>
      </c>
      <c r="C36" s="25">
        <v>27</v>
      </c>
      <c r="D36" s="29" t="s">
        <v>235</v>
      </c>
      <c r="E36" s="23"/>
      <c r="F36" s="24"/>
    </row>
    <row r="37" spans="1:6" ht="12.75">
      <c r="A37" s="25">
        <v>30</v>
      </c>
      <c r="B37" s="32" t="s">
        <v>146</v>
      </c>
      <c r="C37" s="25">
        <v>28</v>
      </c>
      <c r="D37" s="29" t="s">
        <v>236</v>
      </c>
      <c r="E37" s="23"/>
      <c r="F37" s="24"/>
    </row>
    <row r="38" spans="1:6" ht="12.75">
      <c r="A38" s="25">
        <v>31</v>
      </c>
      <c r="B38" s="30" t="s">
        <v>147</v>
      </c>
      <c r="C38" s="25">
        <v>29</v>
      </c>
      <c r="D38" s="29" t="s">
        <v>237</v>
      </c>
      <c r="E38" s="23"/>
      <c r="F38" s="24"/>
    </row>
    <row r="39" spans="1:6" ht="12.75">
      <c r="A39" s="25">
        <v>32</v>
      </c>
      <c r="B39" s="32" t="s">
        <v>278</v>
      </c>
      <c r="C39" s="25">
        <v>30</v>
      </c>
      <c r="D39" s="29" t="s">
        <v>238</v>
      </c>
      <c r="E39" s="23"/>
      <c r="F39" s="24"/>
    </row>
    <row r="40" spans="1:6" ht="12.75">
      <c r="A40" s="25">
        <v>33</v>
      </c>
      <c r="B40" s="30" t="s">
        <v>148</v>
      </c>
      <c r="D40" s="29"/>
      <c r="E40" s="23"/>
      <c r="F40" s="24"/>
    </row>
    <row r="41" spans="1:6" ht="12.75">
      <c r="A41" s="25">
        <v>34</v>
      </c>
      <c r="B41" s="30" t="s">
        <v>149</v>
      </c>
      <c r="C41" s="25">
        <v>31</v>
      </c>
      <c r="D41" s="27" t="s">
        <v>57</v>
      </c>
      <c r="E41" s="23"/>
      <c r="F41" s="24"/>
    </row>
    <row r="42" spans="1:6" ht="12.75">
      <c r="A42" s="25">
        <v>35</v>
      </c>
      <c r="B42" s="30" t="s">
        <v>150</v>
      </c>
      <c r="C42" s="25">
        <v>32</v>
      </c>
      <c r="D42" s="29" t="s">
        <v>239</v>
      </c>
      <c r="E42" s="23"/>
      <c r="F42" s="24"/>
    </row>
    <row r="43" spans="1:6" ht="12.75">
      <c r="A43" s="25">
        <v>36</v>
      </c>
      <c r="B43" s="30" t="s">
        <v>151</v>
      </c>
      <c r="C43" s="25">
        <v>33</v>
      </c>
      <c r="D43" s="29" t="s">
        <v>240</v>
      </c>
      <c r="E43" s="23"/>
      <c r="F43" s="24"/>
    </row>
    <row r="44" spans="1:6" ht="12.75">
      <c r="A44" s="25">
        <v>37</v>
      </c>
      <c r="B44" s="30" t="s">
        <v>152</v>
      </c>
      <c r="C44" s="25">
        <v>34</v>
      </c>
      <c r="D44" s="29" t="s">
        <v>241</v>
      </c>
      <c r="E44" s="23"/>
      <c r="F44" s="24"/>
    </row>
    <row r="45" spans="1:6" ht="12.75">
      <c r="A45" s="25">
        <v>38</v>
      </c>
      <c r="B45" s="30" t="s">
        <v>153</v>
      </c>
      <c r="C45" s="25">
        <v>35</v>
      </c>
      <c r="D45" s="29" t="s">
        <v>242</v>
      </c>
      <c r="E45" s="23"/>
      <c r="F45" s="24"/>
    </row>
    <row r="46" spans="1:6" ht="12.75">
      <c r="A46" s="25">
        <v>39</v>
      </c>
      <c r="B46" s="30" t="s">
        <v>154</v>
      </c>
      <c r="C46" s="25">
        <v>36</v>
      </c>
      <c r="D46" s="29" t="s">
        <v>243</v>
      </c>
      <c r="E46" s="23"/>
      <c r="F46" s="24"/>
    </row>
    <row r="47" spans="1:6" ht="12.75">
      <c r="A47" s="25">
        <v>40</v>
      </c>
      <c r="B47" s="30" t="s">
        <v>155</v>
      </c>
      <c r="C47" s="45"/>
      <c r="D47" s="29"/>
      <c r="E47" s="23"/>
      <c r="F47" s="24"/>
    </row>
    <row r="48" spans="1:6" ht="12.75">
      <c r="A48" s="25">
        <v>41</v>
      </c>
      <c r="B48" s="30" t="s">
        <v>156</v>
      </c>
      <c r="C48" s="25">
        <v>37</v>
      </c>
      <c r="D48" s="27" t="s">
        <v>56</v>
      </c>
      <c r="E48" s="23"/>
      <c r="F48" s="24"/>
    </row>
    <row r="49" spans="1:6" ht="12.75">
      <c r="A49" s="25">
        <v>42</v>
      </c>
      <c r="B49" s="32" t="s">
        <v>157</v>
      </c>
      <c r="C49" s="25">
        <v>38</v>
      </c>
      <c r="D49" s="29" t="s">
        <v>244</v>
      </c>
      <c r="E49" s="23"/>
      <c r="F49" s="24"/>
    </row>
    <row r="50" spans="1:6" ht="12.75">
      <c r="A50" s="25">
        <v>43</v>
      </c>
      <c r="B50" s="30" t="s">
        <v>158</v>
      </c>
      <c r="C50" s="25">
        <v>39</v>
      </c>
      <c r="D50" s="29" t="s">
        <v>245</v>
      </c>
      <c r="E50" s="23"/>
      <c r="F50" s="24"/>
    </row>
    <row r="51" spans="1:6" ht="12.75">
      <c r="A51" s="25">
        <v>44</v>
      </c>
      <c r="B51" s="30" t="s">
        <v>159</v>
      </c>
      <c r="C51" s="25">
        <v>40</v>
      </c>
      <c r="D51" s="29" t="s">
        <v>246</v>
      </c>
      <c r="E51" s="23"/>
      <c r="F51" s="24"/>
    </row>
    <row r="52" spans="1:6" ht="12.75">
      <c r="A52" s="25">
        <v>45</v>
      </c>
      <c r="B52" s="30" t="s">
        <v>160</v>
      </c>
      <c r="C52" s="25">
        <v>41</v>
      </c>
      <c r="D52" s="29" t="s">
        <v>247</v>
      </c>
      <c r="E52" s="23"/>
      <c r="F52" s="24"/>
    </row>
    <row r="53" spans="1:6" ht="12.75">
      <c r="A53" s="25">
        <v>46</v>
      </c>
      <c r="B53" s="30" t="s">
        <v>161</v>
      </c>
      <c r="C53" s="25">
        <v>42</v>
      </c>
      <c r="D53" s="29" t="s">
        <v>248</v>
      </c>
      <c r="E53" s="23"/>
      <c r="F53" s="24"/>
    </row>
    <row r="54" spans="1:6" ht="12.75">
      <c r="A54" s="25">
        <v>47</v>
      </c>
      <c r="B54" s="30" t="s">
        <v>318</v>
      </c>
      <c r="D54" s="29"/>
      <c r="E54" s="23"/>
      <c r="F54" s="24"/>
    </row>
    <row r="55" spans="1:6" ht="12.75">
      <c r="A55" s="25">
        <v>48</v>
      </c>
      <c r="B55" s="30" t="s">
        <v>319</v>
      </c>
      <c r="C55" s="25">
        <v>43</v>
      </c>
      <c r="D55" s="27" t="s">
        <v>55</v>
      </c>
      <c r="E55" s="23"/>
      <c r="F55" s="24"/>
    </row>
    <row r="56" spans="1:6" ht="12.75">
      <c r="A56" s="25">
        <v>49</v>
      </c>
      <c r="B56" s="30" t="s">
        <v>320</v>
      </c>
      <c r="C56" s="25">
        <v>44</v>
      </c>
      <c r="D56" s="29" t="s">
        <v>249</v>
      </c>
      <c r="E56" s="23"/>
      <c r="F56" s="24"/>
    </row>
    <row r="57" spans="1:6" ht="12.75">
      <c r="A57" s="25">
        <v>50</v>
      </c>
      <c r="B57" s="30" t="s">
        <v>321</v>
      </c>
      <c r="C57" s="25">
        <v>45</v>
      </c>
      <c r="D57" s="29" t="s">
        <v>250</v>
      </c>
      <c r="E57" s="23"/>
      <c r="F57" s="24"/>
    </row>
    <row r="58" spans="1:6" ht="12.75">
      <c r="A58" s="25">
        <v>51</v>
      </c>
      <c r="B58" s="30" t="s">
        <v>322</v>
      </c>
      <c r="C58" s="25">
        <v>46</v>
      </c>
      <c r="D58" s="29" t="s">
        <v>251</v>
      </c>
      <c r="E58" s="23"/>
      <c r="F58" s="24"/>
    </row>
    <row r="59" spans="1:6" ht="12.75">
      <c r="A59" s="25">
        <v>52</v>
      </c>
      <c r="B59" s="30" t="s">
        <v>323</v>
      </c>
      <c r="C59" s="25">
        <v>47</v>
      </c>
      <c r="D59" s="29" t="s">
        <v>252</v>
      </c>
      <c r="E59" s="23"/>
      <c r="F59" s="24"/>
    </row>
    <row r="60" spans="1:6" ht="12.75">
      <c r="A60" s="25">
        <v>53</v>
      </c>
      <c r="B60" s="30" t="s">
        <v>324</v>
      </c>
      <c r="C60" s="25">
        <v>48</v>
      </c>
      <c r="D60" s="29" t="s">
        <v>253</v>
      </c>
      <c r="E60" s="23"/>
      <c r="F60" s="24"/>
    </row>
    <row r="61" spans="1:6" ht="12.75">
      <c r="A61" s="25">
        <v>54</v>
      </c>
      <c r="B61" s="30" t="s">
        <v>325</v>
      </c>
      <c r="D61" s="29"/>
      <c r="E61" s="23"/>
      <c r="F61" s="24"/>
    </row>
    <row r="62" spans="1:6" ht="12.75">
      <c r="A62" s="25">
        <v>55</v>
      </c>
      <c r="B62" s="30" t="s">
        <v>327</v>
      </c>
      <c r="C62" s="25">
        <v>49</v>
      </c>
      <c r="D62" s="27" t="s">
        <v>254</v>
      </c>
      <c r="E62" s="23"/>
      <c r="F62" s="24"/>
    </row>
    <row r="63" spans="1:6" ht="12.75">
      <c r="A63" s="25">
        <v>56</v>
      </c>
      <c r="B63" s="30" t="s">
        <v>328</v>
      </c>
      <c r="C63" s="25">
        <v>50</v>
      </c>
      <c r="D63" s="33" t="s">
        <v>255</v>
      </c>
      <c r="E63" s="23"/>
      <c r="F63" s="24"/>
    </row>
    <row r="64" spans="1:6" ht="14.25" customHeight="1">
      <c r="A64" s="25">
        <v>57</v>
      </c>
      <c r="B64" s="30" t="s">
        <v>329</v>
      </c>
      <c r="C64" s="25">
        <v>51</v>
      </c>
      <c r="D64" s="33" t="s">
        <v>48</v>
      </c>
      <c r="E64" s="23"/>
      <c r="F64" s="24"/>
    </row>
    <row r="65" spans="1:6" ht="12.75">
      <c r="A65" s="25">
        <v>58</v>
      </c>
      <c r="B65" s="30" t="s">
        <v>330</v>
      </c>
      <c r="C65" s="25">
        <v>52</v>
      </c>
      <c r="D65" s="33" t="s">
        <v>49</v>
      </c>
      <c r="E65" s="23"/>
      <c r="F65" s="24"/>
    </row>
    <row r="66" spans="1:6" ht="12.75">
      <c r="A66" s="25">
        <v>59</v>
      </c>
      <c r="B66" s="30" t="s">
        <v>331</v>
      </c>
      <c r="C66" s="25">
        <v>53</v>
      </c>
      <c r="D66" s="33" t="s">
        <v>50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306</v>
      </c>
      <c r="C68" s="25">
        <v>54</v>
      </c>
      <c r="D68" s="27" t="s">
        <v>60</v>
      </c>
      <c r="E68" s="23"/>
      <c r="F68" s="24"/>
    </row>
    <row r="69" spans="1:6" ht="12.75">
      <c r="A69" s="31"/>
      <c r="B69" s="28"/>
      <c r="C69" s="25">
        <v>55</v>
      </c>
      <c r="D69" s="33" t="s">
        <v>61</v>
      </c>
      <c r="E69" s="23"/>
      <c r="F69" s="24"/>
    </row>
    <row r="70" spans="1:6" ht="12.75" customHeight="1">
      <c r="A70" s="25">
        <v>60</v>
      </c>
      <c r="B70" s="32" t="s">
        <v>162</v>
      </c>
      <c r="C70" s="25">
        <v>56</v>
      </c>
      <c r="D70" s="29" t="s">
        <v>100</v>
      </c>
      <c r="E70" s="23"/>
      <c r="F70" s="24"/>
    </row>
    <row r="71" spans="1:6" ht="13.5" customHeight="1">
      <c r="A71" s="31">
        <v>61</v>
      </c>
      <c r="B71" s="32" t="s">
        <v>163</v>
      </c>
      <c r="C71" s="25">
        <v>57</v>
      </c>
      <c r="D71" s="29" t="s">
        <v>101</v>
      </c>
      <c r="E71" s="23"/>
      <c r="F71" s="24"/>
    </row>
    <row r="72" spans="1:6" ht="12.75">
      <c r="A72" s="25">
        <v>62</v>
      </c>
      <c r="B72" s="32" t="s">
        <v>164</v>
      </c>
      <c r="D72" s="33"/>
      <c r="E72" s="23"/>
      <c r="F72" s="24"/>
    </row>
    <row r="73" spans="1:6" ht="12.75">
      <c r="A73" s="31">
        <v>63</v>
      </c>
      <c r="B73" s="32" t="s">
        <v>165</v>
      </c>
      <c r="C73" s="25">
        <v>58</v>
      </c>
      <c r="D73" s="27" t="s">
        <v>43</v>
      </c>
      <c r="E73" s="23"/>
      <c r="F73" s="24"/>
    </row>
    <row r="74" spans="1:6" ht="12.75">
      <c r="A74" s="25">
        <v>64</v>
      </c>
      <c r="B74" s="32" t="s">
        <v>166</v>
      </c>
      <c r="C74" s="25">
        <v>59</v>
      </c>
      <c r="D74" s="33" t="s">
        <v>44</v>
      </c>
      <c r="E74" s="23"/>
      <c r="F74" s="24"/>
    </row>
    <row r="75" spans="1:6" ht="12.75">
      <c r="A75" s="31">
        <v>65</v>
      </c>
      <c r="B75" s="32" t="s">
        <v>167</v>
      </c>
      <c r="C75" s="25">
        <v>60</v>
      </c>
      <c r="D75" s="33" t="s">
        <v>45</v>
      </c>
      <c r="E75" s="23"/>
      <c r="F75" s="24"/>
    </row>
    <row r="76" spans="1:6" ht="12.75">
      <c r="A76" s="25">
        <v>66</v>
      </c>
      <c r="B76" s="32" t="s">
        <v>168</v>
      </c>
      <c r="C76" s="25">
        <v>61</v>
      </c>
      <c r="D76" s="33" t="s">
        <v>46</v>
      </c>
      <c r="E76" s="23"/>
      <c r="F76" s="24"/>
    </row>
    <row r="77" spans="1:6" ht="12.75">
      <c r="A77" s="31">
        <v>67</v>
      </c>
      <c r="B77" s="32" t="s">
        <v>169</v>
      </c>
      <c r="C77" s="25">
        <v>62</v>
      </c>
      <c r="D77" s="33" t="s">
        <v>47</v>
      </c>
      <c r="E77" s="23"/>
      <c r="F77" s="24"/>
    </row>
    <row r="78" spans="1:6" ht="12.75">
      <c r="A78" s="25">
        <v>68</v>
      </c>
      <c r="B78" s="32" t="s">
        <v>170</v>
      </c>
      <c r="C78" s="25">
        <v>63</v>
      </c>
      <c r="D78" s="29" t="s">
        <v>84</v>
      </c>
      <c r="E78" s="23"/>
      <c r="F78" s="24"/>
    </row>
    <row r="79" spans="1:6" ht="12.75">
      <c r="A79" s="31">
        <v>69</v>
      </c>
      <c r="B79" s="32" t="s">
        <v>171</v>
      </c>
      <c r="C79" s="25">
        <v>64</v>
      </c>
      <c r="D79" s="33" t="s">
        <v>85</v>
      </c>
      <c r="E79" s="23"/>
      <c r="F79" s="24"/>
    </row>
    <row r="80" spans="1:6" ht="12.75">
      <c r="A80" s="25">
        <v>70</v>
      </c>
      <c r="B80" s="32" t="s">
        <v>172</v>
      </c>
      <c r="C80" s="25">
        <v>65</v>
      </c>
      <c r="D80" s="33" t="s">
        <v>90</v>
      </c>
      <c r="E80" s="23"/>
      <c r="F80" s="24"/>
    </row>
    <row r="81" spans="1:6" ht="12.75">
      <c r="A81" s="31">
        <v>71</v>
      </c>
      <c r="B81" s="32" t="s">
        <v>173</v>
      </c>
      <c r="C81" s="25">
        <v>66</v>
      </c>
      <c r="D81" s="33" t="s">
        <v>86</v>
      </c>
      <c r="E81" s="23"/>
      <c r="F81" s="24"/>
    </row>
    <row r="82" spans="1:6" ht="12" customHeight="1">
      <c r="A82" s="25">
        <v>72</v>
      </c>
      <c r="B82" s="32" t="s">
        <v>174</v>
      </c>
      <c r="C82" s="25">
        <v>67</v>
      </c>
      <c r="D82" s="33" t="s">
        <v>87</v>
      </c>
      <c r="E82" s="23"/>
      <c r="F82" s="24"/>
    </row>
    <row r="83" spans="1:6" ht="12.75" customHeight="1">
      <c r="A83" s="31">
        <v>73</v>
      </c>
      <c r="B83" s="32" t="s">
        <v>175</v>
      </c>
      <c r="C83" s="25">
        <v>68</v>
      </c>
      <c r="D83" s="33" t="s">
        <v>88</v>
      </c>
      <c r="E83" s="23"/>
      <c r="F83" s="24"/>
    </row>
    <row r="84" spans="1:6" ht="12.75">
      <c r="A84" s="25">
        <v>74</v>
      </c>
      <c r="B84" s="32" t="s">
        <v>176</v>
      </c>
      <c r="C84" s="25">
        <v>69</v>
      </c>
      <c r="D84" s="33" t="s">
        <v>89</v>
      </c>
      <c r="E84" s="23"/>
      <c r="F84" s="24"/>
    </row>
    <row r="85" spans="1:6" ht="12.75">
      <c r="A85" s="31">
        <v>75</v>
      </c>
      <c r="B85" s="32" t="s">
        <v>177</v>
      </c>
      <c r="C85" s="25">
        <v>70</v>
      </c>
      <c r="D85" s="29" t="s">
        <v>92</v>
      </c>
      <c r="E85" s="23"/>
      <c r="F85" s="24"/>
    </row>
    <row r="86" spans="1:6" ht="12.75">
      <c r="A86" s="25">
        <v>76</v>
      </c>
      <c r="B86" s="32" t="s">
        <v>178</v>
      </c>
      <c r="C86" s="25">
        <v>71</v>
      </c>
      <c r="D86" s="29" t="s">
        <v>93</v>
      </c>
      <c r="E86" s="23"/>
      <c r="F86" s="24"/>
    </row>
    <row r="87" spans="1:6" ht="12.75">
      <c r="A87" s="31">
        <v>77</v>
      </c>
      <c r="B87" s="32" t="s">
        <v>179</v>
      </c>
      <c r="C87" s="25">
        <v>72</v>
      </c>
      <c r="D87" s="29" t="s">
        <v>106</v>
      </c>
      <c r="E87" s="23"/>
      <c r="F87" s="24"/>
    </row>
    <row r="88" spans="1:6" ht="12.75">
      <c r="A88" s="25"/>
      <c r="B88" s="34"/>
      <c r="C88" s="25">
        <v>73</v>
      </c>
      <c r="D88" s="29" t="s">
        <v>105</v>
      </c>
      <c r="E88" s="23"/>
      <c r="F88" s="24"/>
    </row>
    <row r="89" spans="1:6" ht="12.75">
      <c r="A89" s="25"/>
      <c r="B89" s="26" t="s">
        <v>307</v>
      </c>
      <c r="C89" s="25">
        <v>74</v>
      </c>
      <c r="D89" s="29" t="s">
        <v>104</v>
      </c>
      <c r="E89" s="23"/>
      <c r="F89" s="24"/>
    </row>
    <row r="90" spans="1:6" ht="12.75">
      <c r="A90" s="25"/>
      <c r="B90" s="26"/>
      <c r="C90" s="25">
        <v>75</v>
      </c>
      <c r="D90" s="29" t="s">
        <v>103</v>
      </c>
      <c r="E90" s="23"/>
      <c r="F90" s="24"/>
    </row>
    <row r="91" spans="1:6" ht="12.75">
      <c r="A91" s="25">
        <v>78</v>
      </c>
      <c r="B91" s="32" t="s">
        <v>332</v>
      </c>
      <c r="C91" s="25">
        <v>76</v>
      </c>
      <c r="D91" s="29" t="s">
        <v>102</v>
      </c>
      <c r="E91" s="23"/>
      <c r="F91" s="24"/>
    </row>
    <row r="92" spans="1:6" ht="12.75">
      <c r="A92" s="25">
        <v>79</v>
      </c>
      <c r="B92" s="32" t="s">
        <v>333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334</v>
      </c>
      <c r="C93" s="25">
        <v>77</v>
      </c>
      <c r="D93" s="27" t="s">
        <v>256</v>
      </c>
      <c r="E93" s="23"/>
      <c r="F93" s="24"/>
    </row>
    <row r="94" spans="1:6" ht="12.75">
      <c r="A94" s="25">
        <v>81</v>
      </c>
      <c r="B94" s="32" t="s">
        <v>335</v>
      </c>
      <c r="C94" s="25">
        <v>78</v>
      </c>
      <c r="D94" s="33" t="s">
        <v>257</v>
      </c>
      <c r="E94" s="23"/>
      <c r="F94" s="24"/>
    </row>
    <row r="95" spans="1:6" ht="12.75">
      <c r="A95" s="25">
        <v>82</v>
      </c>
      <c r="B95" s="32" t="s">
        <v>180</v>
      </c>
      <c r="C95" s="25">
        <v>79</v>
      </c>
      <c r="D95" s="33" t="s">
        <v>258</v>
      </c>
      <c r="E95" s="23"/>
      <c r="F95" s="24"/>
    </row>
    <row r="96" spans="1:6" ht="25.5">
      <c r="A96" s="25">
        <v>83</v>
      </c>
      <c r="B96" s="32" t="s">
        <v>181</v>
      </c>
      <c r="C96" s="25">
        <v>80</v>
      </c>
      <c r="D96" s="33" t="s">
        <v>259</v>
      </c>
      <c r="E96" s="23"/>
      <c r="F96" s="24"/>
    </row>
    <row r="97" spans="1:6" ht="12.75">
      <c r="A97" s="25">
        <v>84</v>
      </c>
      <c r="B97" s="32" t="s">
        <v>182</v>
      </c>
      <c r="C97" s="25">
        <v>81</v>
      </c>
      <c r="D97" s="33" t="s">
        <v>260</v>
      </c>
      <c r="E97" s="23"/>
      <c r="F97" s="24"/>
    </row>
    <row r="98" spans="1:6" ht="12.75">
      <c r="A98" s="25">
        <v>85</v>
      </c>
      <c r="B98" s="32" t="s">
        <v>183</v>
      </c>
      <c r="D98" s="33"/>
      <c r="E98" s="23"/>
      <c r="F98" s="24"/>
    </row>
    <row r="99" spans="1:6" ht="12.75">
      <c r="A99" s="25">
        <v>86</v>
      </c>
      <c r="B99" s="32" t="s">
        <v>184</v>
      </c>
      <c r="C99" s="25">
        <v>82</v>
      </c>
      <c r="D99" s="27" t="s">
        <v>58</v>
      </c>
      <c r="E99" s="23"/>
      <c r="F99" s="24"/>
    </row>
    <row r="100" spans="1:6" ht="12.75">
      <c r="A100" s="25">
        <v>87</v>
      </c>
      <c r="B100" s="32" t="s">
        <v>185</v>
      </c>
      <c r="C100" s="25">
        <v>83</v>
      </c>
      <c r="D100" s="33" t="s">
        <v>261</v>
      </c>
      <c r="E100" s="23"/>
      <c r="F100" s="24"/>
    </row>
    <row r="101" spans="1:6" ht="12.75">
      <c r="A101" s="25">
        <v>88</v>
      </c>
      <c r="B101" s="32" t="s">
        <v>186</v>
      </c>
      <c r="C101" s="25">
        <v>84</v>
      </c>
      <c r="D101" s="33" t="s">
        <v>262</v>
      </c>
      <c r="E101" s="23"/>
      <c r="F101" s="24"/>
    </row>
    <row r="102" spans="1:6" ht="25.5">
      <c r="A102" s="25">
        <v>89</v>
      </c>
      <c r="B102" s="32" t="s">
        <v>187</v>
      </c>
      <c r="C102" s="25">
        <v>85</v>
      </c>
      <c r="D102" s="33" t="s">
        <v>263</v>
      </c>
      <c r="E102" s="23"/>
      <c r="F102" s="24"/>
    </row>
    <row r="103" spans="1:6" ht="12.75">
      <c r="A103" s="25">
        <v>90</v>
      </c>
      <c r="B103" s="32" t="s">
        <v>188</v>
      </c>
      <c r="C103" s="25">
        <v>86</v>
      </c>
      <c r="D103" s="33" t="s">
        <v>264</v>
      </c>
      <c r="E103" s="23"/>
      <c r="F103" s="24"/>
    </row>
    <row r="104" spans="1:6" ht="12.75">
      <c r="A104" s="25">
        <v>91</v>
      </c>
      <c r="B104" s="32" t="s">
        <v>189</v>
      </c>
      <c r="C104" s="25">
        <v>87</v>
      </c>
      <c r="D104" s="29" t="s">
        <v>265</v>
      </c>
      <c r="E104" s="23"/>
      <c r="F104" s="24"/>
    </row>
    <row r="105" spans="1:6" ht="12.75">
      <c r="A105" s="25">
        <v>92</v>
      </c>
      <c r="B105" s="32" t="s">
        <v>190</v>
      </c>
      <c r="C105" s="25">
        <v>88</v>
      </c>
      <c r="D105" s="33" t="s">
        <v>266</v>
      </c>
      <c r="E105" s="23"/>
      <c r="F105" s="24"/>
    </row>
    <row r="106" spans="1:6" ht="12.75">
      <c r="A106" s="25">
        <v>93</v>
      </c>
      <c r="B106" s="32" t="s">
        <v>191</v>
      </c>
      <c r="C106" s="25">
        <v>89</v>
      </c>
      <c r="D106" s="33" t="s">
        <v>90</v>
      </c>
      <c r="E106" s="23"/>
      <c r="F106" s="24"/>
    </row>
    <row r="107" spans="1:6" ht="12.75">
      <c r="A107" s="25">
        <v>94</v>
      </c>
      <c r="B107" s="32" t="s">
        <v>192</v>
      </c>
      <c r="C107" s="25">
        <v>90</v>
      </c>
      <c r="D107" s="33" t="s">
        <v>59</v>
      </c>
      <c r="E107" s="23"/>
      <c r="F107" s="24"/>
    </row>
    <row r="108" spans="1:6" ht="12.75">
      <c r="A108" s="25">
        <v>95</v>
      </c>
      <c r="B108" s="32" t="s">
        <v>193</v>
      </c>
      <c r="C108" s="25">
        <v>91</v>
      </c>
      <c r="D108" s="33" t="s">
        <v>62</v>
      </c>
      <c r="E108" s="23"/>
      <c r="F108" s="24"/>
    </row>
    <row r="109" spans="1:6" ht="12.75">
      <c r="A109" s="25">
        <v>96</v>
      </c>
      <c r="B109" s="32" t="s">
        <v>194</v>
      </c>
      <c r="C109" s="25">
        <v>92</v>
      </c>
      <c r="D109" s="33" t="s">
        <v>267</v>
      </c>
      <c r="E109" s="23"/>
      <c r="F109" s="24"/>
    </row>
    <row r="110" spans="1:6" ht="12.75">
      <c r="A110" s="25">
        <v>97</v>
      </c>
      <c r="B110" s="32" t="s">
        <v>195</v>
      </c>
      <c r="C110" s="25">
        <v>93</v>
      </c>
      <c r="D110" s="33" t="s">
        <v>268</v>
      </c>
      <c r="E110" s="23"/>
      <c r="F110" s="24"/>
    </row>
    <row r="111" spans="1:6" ht="12.75">
      <c r="A111" s="25">
        <v>98</v>
      </c>
      <c r="B111" s="32" t="s">
        <v>196</v>
      </c>
      <c r="C111" s="25">
        <v>94</v>
      </c>
      <c r="D111" s="29" t="s">
        <v>94</v>
      </c>
      <c r="E111" s="23"/>
      <c r="F111" s="24"/>
    </row>
    <row r="112" spans="1:6" ht="12.75">
      <c r="A112" s="25">
        <v>99</v>
      </c>
      <c r="B112" s="32" t="s">
        <v>197</v>
      </c>
      <c r="C112" s="25">
        <v>95</v>
      </c>
      <c r="D112" s="29" t="s">
        <v>95</v>
      </c>
      <c r="E112" s="23"/>
      <c r="F112" s="24"/>
    </row>
    <row r="113" spans="1:6" ht="12.75">
      <c r="A113" s="25">
        <v>100</v>
      </c>
      <c r="B113" s="32" t="s">
        <v>198</v>
      </c>
      <c r="C113" s="25">
        <v>96</v>
      </c>
      <c r="D113" s="29" t="s">
        <v>107</v>
      </c>
      <c r="E113" s="23"/>
      <c r="F113" s="24"/>
    </row>
    <row r="114" spans="1:6" ht="12.75">
      <c r="A114" s="25">
        <v>101</v>
      </c>
      <c r="B114" s="32" t="s">
        <v>199</v>
      </c>
      <c r="C114" s="25">
        <v>97</v>
      </c>
      <c r="D114" s="29" t="s">
        <v>108</v>
      </c>
      <c r="E114" s="23"/>
      <c r="F114" s="24"/>
    </row>
    <row r="115" spans="1:6" ht="12.75">
      <c r="A115" s="25">
        <v>102</v>
      </c>
      <c r="B115" s="32" t="s">
        <v>336</v>
      </c>
      <c r="C115" s="25">
        <v>98</v>
      </c>
      <c r="D115" s="29" t="s">
        <v>109</v>
      </c>
      <c r="E115" s="23"/>
      <c r="F115" s="24"/>
    </row>
    <row r="116" spans="1:6" ht="12.75">
      <c r="A116" s="25">
        <v>103</v>
      </c>
      <c r="B116" s="32" t="s">
        <v>337</v>
      </c>
      <c r="C116" s="25">
        <v>99</v>
      </c>
      <c r="D116" s="29" t="s">
        <v>110</v>
      </c>
      <c r="E116" s="23"/>
      <c r="F116" s="24"/>
    </row>
    <row r="117" spans="1:6" ht="12.75">
      <c r="A117" s="25">
        <v>104</v>
      </c>
      <c r="B117" s="32" t="s">
        <v>338</v>
      </c>
      <c r="C117" s="25">
        <v>100</v>
      </c>
      <c r="D117" s="29" t="s">
        <v>111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308</v>
      </c>
      <c r="C119" s="25">
        <v>101</v>
      </c>
      <c r="D119" s="27" t="s">
        <v>79</v>
      </c>
      <c r="E119" s="23"/>
      <c r="F119" s="24"/>
    </row>
    <row r="120" spans="1:6" ht="12.75">
      <c r="A120" s="25"/>
      <c r="B120" s="30"/>
      <c r="C120" s="25">
        <v>102</v>
      </c>
      <c r="D120" s="29" t="s">
        <v>63</v>
      </c>
      <c r="E120" s="23"/>
      <c r="F120" s="24"/>
    </row>
    <row r="121" spans="1:6" ht="12.75">
      <c r="A121" s="25">
        <v>105</v>
      </c>
      <c r="B121" s="37" t="s">
        <v>279</v>
      </c>
      <c r="C121" s="25">
        <v>103</v>
      </c>
      <c r="D121" s="33" t="s">
        <v>64</v>
      </c>
      <c r="E121" s="23"/>
      <c r="F121" s="24"/>
    </row>
    <row r="122" spans="1:6" ht="12.75">
      <c r="A122" s="25">
        <v>106</v>
      </c>
      <c r="B122" s="37" t="s">
        <v>280</v>
      </c>
      <c r="C122" s="25">
        <v>104</v>
      </c>
      <c r="D122" s="33" t="s">
        <v>65</v>
      </c>
      <c r="E122" s="23"/>
      <c r="F122" s="24"/>
    </row>
    <row r="123" spans="1:6" ht="12.75">
      <c r="A123" s="25">
        <v>107</v>
      </c>
      <c r="B123" s="37" t="s">
        <v>281</v>
      </c>
      <c r="C123" s="25">
        <v>105</v>
      </c>
      <c r="D123" s="29" t="s">
        <v>66</v>
      </c>
      <c r="E123" s="23"/>
      <c r="F123" s="24"/>
    </row>
    <row r="124" spans="1:6" ht="12.75">
      <c r="A124" s="25">
        <v>108</v>
      </c>
      <c r="B124" s="37" t="s">
        <v>282</v>
      </c>
      <c r="C124" s="25">
        <v>106</v>
      </c>
      <c r="D124" s="33" t="s">
        <v>67</v>
      </c>
      <c r="E124" s="23"/>
      <c r="F124" s="24"/>
    </row>
    <row r="125" spans="1:6" ht="12.75">
      <c r="A125" s="25">
        <v>109</v>
      </c>
      <c r="B125" s="37" t="s">
        <v>283</v>
      </c>
      <c r="C125" s="25">
        <v>107</v>
      </c>
      <c r="D125" s="33" t="s">
        <v>68</v>
      </c>
      <c r="E125" s="23"/>
      <c r="F125" s="24"/>
    </row>
    <row r="126" spans="1:6" ht="12.75">
      <c r="A126" s="25">
        <v>110</v>
      </c>
      <c r="B126" s="37" t="s">
        <v>284</v>
      </c>
      <c r="C126" s="25">
        <v>108</v>
      </c>
      <c r="D126" s="33" t="s">
        <v>69</v>
      </c>
      <c r="E126" s="23"/>
      <c r="F126" s="24"/>
    </row>
    <row r="127" spans="1:6" ht="12.75">
      <c r="A127" s="25">
        <v>111</v>
      </c>
      <c r="B127" s="37" t="s">
        <v>285</v>
      </c>
      <c r="C127" s="25">
        <v>109</v>
      </c>
      <c r="D127" s="33" t="s">
        <v>70</v>
      </c>
      <c r="E127" s="23"/>
      <c r="F127" s="24"/>
    </row>
    <row r="128" spans="1:6" ht="12.75" customHeight="1">
      <c r="A128" s="25">
        <v>112</v>
      </c>
      <c r="B128" s="37" t="s">
        <v>286</v>
      </c>
      <c r="C128" s="25">
        <v>110</v>
      </c>
      <c r="D128" s="33" t="s">
        <v>71</v>
      </c>
      <c r="E128" s="23"/>
      <c r="F128" s="24"/>
    </row>
    <row r="129" spans="1:6" ht="12.75">
      <c r="A129" s="25">
        <v>113</v>
      </c>
      <c r="B129" s="37" t="s">
        <v>287</v>
      </c>
      <c r="C129" s="25">
        <v>111</v>
      </c>
      <c r="D129" s="33" t="s">
        <v>72</v>
      </c>
      <c r="E129" s="23"/>
      <c r="F129" s="24"/>
    </row>
    <row r="130" spans="1:6" ht="12.75">
      <c r="A130" s="25">
        <v>114</v>
      </c>
      <c r="B130" s="37" t="s">
        <v>288</v>
      </c>
      <c r="C130" s="25">
        <v>112</v>
      </c>
      <c r="D130" s="29" t="s">
        <v>73</v>
      </c>
      <c r="E130" s="23"/>
      <c r="F130" s="24"/>
    </row>
    <row r="131" spans="1:6" ht="12.75">
      <c r="A131" s="25">
        <v>115</v>
      </c>
      <c r="B131" s="37" t="s">
        <v>289</v>
      </c>
      <c r="C131" s="25">
        <v>113</v>
      </c>
      <c r="D131" s="33" t="s">
        <v>74</v>
      </c>
      <c r="E131" s="23"/>
      <c r="F131" s="24"/>
    </row>
    <row r="132" spans="1:6" ht="12.75">
      <c r="A132" s="25">
        <v>116</v>
      </c>
      <c r="B132" s="37" t="s">
        <v>290</v>
      </c>
      <c r="C132" s="25">
        <v>114</v>
      </c>
      <c r="D132" s="33" t="s">
        <v>75</v>
      </c>
      <c r="E132" s="23"/>
      <c r="F132" s="24"/>
    </row>
    <row r="133" spans="1:6" ht="12.75">
      <c r="A133" s="25">
        <v>117</v>
      </c>
      <c r="B133" s="37" t="s">
        <v>291</v>
      </c>
      <c r="C133" s="25">
        <v>115</v>
      </c>
      <c r="D133" s="33" t="s">
        <v>76</v>
      </c>
      <c r="E133" s="23"/>
      <c r="F133" s="24"/>
    </row>
    <row r="134" spans="1:6" ht="12.75">
      <c r="A134" s="25">
        <v>118</v>
      </c>
      <c r="B134" s="32" t="s">
        <v>292</v>
      </c>
      <c r="C134" s="25">
        <v>116</v>
      </c>
      <c r="D134" s="33" t="s">
        <v>77</v>
      </c>
      <c r="E134" s="23"/>
      <c r="F134" s="24"/>
    </row>
    <row r="135" spans="1:6" ht="25.5">
      <c r="A135" s="35"/>
      <c r="B135" s="36"/>
      <c r="C135" s="25">
        <v>117</v>
      </c>
      <c r="D135" s="33" t="s">
        <v>78</v>
      </c>
      <c r="E135" s="23"/>
      <c r="F135" s="24"/>
    </row>
    <row r="136" spans="1:6" ht="12.75">
      <c r="A136" s="35"/>
      <c r="B136" s="38" t="s">
        <v>309</v>
      </c>
      <c r="C136" s="25">
        <v>118</v>
      </c>
      <c r="D136" s="29" t="s">
        <v>96</v>
      </c>
      <c r="E136" s="23"/>
      <c r="F136" s="24"/>
    </row>
    <row r="137" spans="1:6" ht="12.75">
      <c r="A137" s="35"/>
      <c r="B137" s="36"/>
      <c r="C137" s="25">
        <v>119</v>
      </c>
      <c r="D137" s="29" t="s">
        <v>97</v>
      </c>
      <c r="E137" s="23"/>
      <c r="F137" s="24"/>
    </row>
    <row r="138" spans="1:6" ht="12.75">
      <c r="A138" s="25">
        <v>119</v>
      </c>
      <c r="B138" s="36" t="s">
        <v>310</v>
      </c>
      <c r="C138" s="25">
        <v>120</v>
      </c>
      <c r="D138" s="29" t="s">
        <v>98</v>
      </c>
      <c r="E138" s="23"/>
      <c r="F138" s="24"/>
    </row>
    <row r="139" spans="1:6" ht="12.75">
      <c r="A139" s="25">
        <v>120</v>
      </c>
      <c r="B139" s="30" t="s">
        <v>200</v>
      </c>
      <c r="C139" s="25">
        <v>121</v>
      </c>
      <c r="D139" s="29" t="s">
        <v>99</v>
      </c>
      <c r="E139" s="23"/>
      <c r="F139" s="24"/>
    </row>
    <row r="140" spans="1:6" ht="12.75">
      <c r="A140" s="25">
        <v>121</v>
      </c>
      <c r="B140" s="30" t="s">
        <v>201</v>
      </c>
      <c r="C140" s="25">
        <v>122</v>
      </c>
      <c r="D140" s="29" t="s">
        <v>112</v>
      </c>
      <c r="E140" s="23"/>
      <c r="F140" s="24"/>
    </row>
    <row r="141" spans="1:6" ht="12.75">
      <c r="A141" s="25">
        <v>122</v>
      </c>
      <c r="B141" s="30" t="s">
        <v>202</v>
      </c>
      <c r="C141" s="25">
        <v>123</v>
      </c>
      <c r="D141" s="29" t="s">
        <v>113</v>
      </c>
      <c r="E141" s="23"/>
      <c r="F141" s="24"/>
    </row>
    <row r="142" spans="1:6" ht="12.75">
      <c r="A142" s="25">
        <v>123</v>
      </c>
      <c r="B142" s="32" t="s">
        <v>203</v>
      </c>
      <c r="C142" s="25">
        <v>124</v>
      </c>
      <c r="D142" s="29" t="s">
        <v>114</v>
      </c>
      <c r="E142" s="23"/>
      <c r="F142" s="24"/>
    </row>
    <row r="143" spans="1:6" ht="12.75">
      <c r="A143" s="25">
        <v>124</v>
      </c>
      <c r="B143" s="32" t="s">
        <v>204</v>
      </c>
      <c r="C143" s="25">
        <v>125</v>
      </c>
      <c r="D143" s="29" t="s">
        <v>115</v>
      </c>
      <c r="E143" s="23"/>
      <c r="F143" s="24"/>
    </row>
    <row r="144" spans="1:6" ht="12.75">
      <c r="A144" s="25">
        <v>125</v>
      </c>
      <c r="B144" s="32" t="s">
        <v>205</v>
      </c>
      <c r="C144" s="25">
        <v>126</v>
      </c>
      <c r="D144" s="29" t="s">
        <v>116</v>
      </c>
      <c r="E144" s="23"/>
      <c r="F144" s="24"/>
    </row>
    <row r="145" spans="1:6" ht="12.75">
      <c r="A145" s="25">
        <v>126</v>
      </c>
      <c r="B145" s="32" t="s">
        <v>206</v>
      </c>
      <c r="C145" s="25">
        <v>127</v>
      </c>
      <c r="D145" s="29" t="s">
        <v>117</v>
      </c>
      <c r="E145" s="23"/>
      <c r="F145" s="24"/>
    </row>
    <row r="146" spans="1:6" ht="12.75">
      <c r="A146" s="25">
        <v>127</v>
      </c>
      <c r="B146" s="32" t="s">
        <v>207</v>
      </c>
      <c r="C146" s="25">
        <v>128</v>
      </c>
      <c r="D146" s="29" t="s">
        <v>118</v>
      </c>
      <c r="E146" s="23"/>
      <c r="F146" s="24"/>
    </row>
    <row r="147" spans="1:6" ht="12.75">
      <c r="A147" s="25">
        <v>128</v>
      </c>
      <c r="B147" s="32" t="s">
        <v>208</v>
      </c>
      <c r="C147" s="25">
        <v>129</v>
      </c>
      <c r="D147" s="29" t="s">
        <v>119</v>
      </c>
      <c r="E147" s="23"/>
      <c r="F147" s="24"/>
    </row>
    <row r="148" spans="1:6" ht="12.75">
      <c r="A148" s="25">
        <v>129</v>
      </c>
      <c r="B148" s="32" t="s">
        <v>209</v>
      </c>
      <c r="C148" s="25">
        <v>130</v>
      </c>
      <c r="D148" s="29" t="s">
        <v>120</v>
      </c>
      <c r="E148" s="23"/>
      <c r="F148" s="24"/>
    </row>
    <row r="149" spans="1:6" ht="12.75">
      <c r="A149" s="25">
        <v>130</v>
      </c>
      <c r="B149" s="30" t="s">
        <v>210</v>
      </c>
      <c r="C149" s="25">
        <v>131</v>
      </c>
      <c r="D149" s="29" t="s">
        <v>121</v>
      </c>
      <c r="E149" s="23"/>
      <c r="F149" s="24"/>
    </row>
    <row r="150" spans="1:6" ht="12.75">
      <c r="A150" s="25">
        <v>131</v>
      </c>
      <c r="B150" s="30" t="s">
        <v>211</v>
      </c>
      <c r="C150" s="25">
        <v>132</v>
      </c>
      <c r="D150" s="29" t="s">
        <v>122</v>
      </c>
      <c r="E150" s="23"/>
      <c r="F150" s="24"/>
    </row>
    <row r="151" spans="1:6" ht="12.75">
      <c r="A151" s="25">
        <v>132</v>
      </c>
      <c r="B151" s="30" t="s">
        <v>212</v>
      </c>
      <c r="C151" s="25">
        <v>133</v>
      </c>
      <c r="D151" s="29" t="s">
        <v>123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80</v>
      </c>
      <c r="E153" s="23"/>
      <c r="F153" s="24"/>
    </row>
    <row r="154" spans="1:6" ht="25.5">
      <c r="A154" s="35"/>
      <c r="C154" s="25">
        <v>135</v>
      </c>
      <c r="D154" s="33" t="s">
        <v>81</v>
      </c>
      <c r="E154" s="23"/>
      <c r="F154" s="24"/>
    </row>
    <row r="155" spans="1:6" ht="12.75">
      <c r="A155" s="35"/>
      <c r="B155" s="36"/>
      <c r="C155" s="25">
        <v>136</v>
      </c>
      <c r="D155" s="33" t="s">
        <v>83</v>
      </c>
      <c r="E155" s="23"/>
      <c r="F155" s="24"/>
    </row>
    <row r="156" spans="1:6" ht="12.75">
      <c r="A156" s="35"/>
      <c r="B156" s="36"/>
      <c r="C156" s="25">
        <v>137</v>
      </c>
      <c r="D156" s="33" t="s">
        <v>82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269</v>
      </c>
      <c r="E158" s="23"/>
      <c r="F158" s="24"/>
    </row>
    <row r="159" spans="1:6" ht="12.75">
      <c r="A159" s="35"/>
      <c r="B159" s="36"/>
      <c r="C159" s="25">
        <v>140</v>
      </c>
      <c r="D159" s="33" t="s">
        <v>270</v>
      </c>
      <c r="E159" s="23"/>
      <c r="F159" s="24"/>
    </row>
    <row r="160" spans="1:6" ht="12.75">
      <c r="A160" s="35"/>
      <c r="B160" s="36"/>
      <c r="C160" s="25">
        <v>141</v>
      </c>
      <c r="D160" s="33" t="s">
        <v>271</v>
      </c>
      <c r="E160" s="23"/>
      <c r="F160" s="24"/>
    </row>
    <row r="161" spans="1:6" ht="12.75">
      <c r="A161" s="35"/>
      <c r="B161" s="36"/>
      <c r="C161" s="25">
        <v>142</v>
      </c>
      <c r="D161" s="33" t="s">
        <v>272</v>
      </c>
      <c r="E161" s="23"/>
      <c r="F161" s="24"/>
    </row>
    <row r="162" spans="1:6" ht="12.75">
      <c r="A162" s="35"/>
      <c r="B162" s="36"/>
      <c r="C162" s="25">
        <v>143</v>
      </c>
      <c r="D162" s="33" t="s">
        <v>273</v>
      </c>
      <c r="E162" s="23"/>
      <c r="F162" s="24"/>
    </row>
    <row r="163" spans="1:6" ht="12.75">
      <c r="A163" s="35"/>
      <c r="B163" s="36"/>
      <c r="C163" s="25">
        <v>144</v>
      </c>
      <c r="D163" s="33" t="s">
        <v>274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2015-08-26T02:27:12Z</cp:lastPrinted>
  <dcterms:created xsi:type="dcterms:W3CDTF">2003-01-28T12:33:10Z</dcterms:created>
  <dcterms:modified xsi:type="dcterms:W3CDTF">2015-10-16T05:55:59Z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