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6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6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4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4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4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41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41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41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<sst xmlns="http://schemas.openxmlformats.org/spreadsheetml/2006/main" count="803" uniqueCount="711">
  <si>
    <t>ФЕР20-02-010-08
--------------------
Приказ Минстроя РФ от 30.01.14 №31/пр</t>
  </si>
  <si>
    <t xml:space="preserve">Установка зонтов над шахтами из листовой стали прямоугольного сечения периметром : 4000 мм, 1 зонт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</si>
  <si>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55,34
37,19</t>
  </si>
  <si>
    <t>9,66
0,18</t>
  </si>
  <si>
    <t xml:space="preserve">20.25 Установка зонтов над шахтами из листовой и оцинкованной стали: ОЗП=16,08; ЭМ=6,83; ЗПМ=16,08; МАТ=5,87
 </t>
  </si>
  <si>
    <t>1059
48</t>
  </si>
  <si>
    <t>4,1975
0,0125</t>
  </si>
  <si>
    <t>67,16
0,2</t>
  </si>
  <si>
    <t>301-0295</t>
  </si>
  <si>
    <t xml:space="preserve">Зонты вентиляционных систем из листовой оцинкованной стали, прямоугольные, периметром шахты 4000 мм, шт.
 </t>
  </si>
  <si>
    <t xml:space="preserve">Зонты вентиляционных систем из листовой оцинкованной стали, прямоугольные, периметром шахты 4000 мм; МАТ=5,197
 </t>
  </si>
  <si>
    <t>ФЕР10-01-010-02
--------------------
Приказ Минстроя РФ от 30.01.14 №31/пр</t>
  </si>
  <si>
    <t xml:space="preserve">Установка элементов каркаса: из бревен и пластин,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</si>
  <si>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1040,91
193,71</t>
  </si>
  <si>
    <t xml:space="preserve">10.18. Установка деревянных элементов каркаса: ОЗП=16,08; ЭМ=9,79; ЗПМ=16,08; МАТ=3,36
 </t>
  </si>
  <si>
    <t xml:space="preserve">                                   Утепление вентканалов</t>
  </si>
  <si>
    <t>ФЕР10-01-010-01
--------------------
Приказ Минстроя РФ от 30.01.14 №31/пр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</si>
  <si>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</si>
  <si>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</si>
  <si>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</si>
  <si>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</si>
  <si>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1,984
198,4/100</t>
  </si>
  <si>
    <t>269,35
152,18</t>
  </si>
  <si>
    <t>11,73
0,51</t>
  </si>
  <si>
    <t xml:space="preserve">25.40 Изоляция изделиями из волокнистых и зернистых материалов с креплением на клее и дюбелями холодных поверхностей: наружных стен: ОЗП=16,08; ЭМ=8,58; ЗПМ=16,08; МАТ=1,85
 </t>
  </si>
  <si>
    <t>197
16</t>
  </si>
  <si>
    <t>18,469
0,0375</t>
  </si>
  <si>
    <t>36,64
0,07</t>
  </si>
  <si>
    <t>Каталог ТСЦ 2015/1 104-9100-91004</t>
  </si>
  <si>
    <t xml:space="preserve">Плиты теплоизоляционные энергетические гидрофобизированные базальтовые: ПТЭ-125 , размером 2000х1000х50 мм             3820,34/5,16, м3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</si>
  <si>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</si>
  <si>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</si>
  <si>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1557,25
144,34</t>
  </si>
  <si>
    <t xml:space="preserve">25.74 Установка пароизоляционного слоя из пленки полиэтиленовой: ОЗП=16,08; ЭМ=10,06; ЗПМ=16,08; МАТ=1,64
 </t>
  </si>
  <si>
    <t>ФССЦ-113-1952
--------------------
Приказ Минстроя РФ от 30.01.14 №31/пр</t>
  </si>
  <si>
    <t xml:space="preserve">Пленка полиэтиленовая толщиной 0,2-0,5 мм, изоловая, м2
 </t>
  </si>
  <si>
    <t xml:space="preserve">Пленка полиэтиленовая толщиной 0,2-0,5 мм, изоловая; МАТ=1,213
 </t>
  </si>
  <si>
    <t>ФССЦ-101-7198
--------------------
Приказ Минстроя РФ от 30.01.14 №31/пр</t>
  </si>
  <si>
    <t xml:space="preserve">ИЗОСПАН В       13,6/(27,5/10)=4,945, м2
 </t>
  </si>
  <si>
    <t xml:space="preserve">; МАТ=4,945
 </t>
  </si>
  <si>
    <t>ФЕР10-01-008-08
применительно
--------------------
Приказ Минстроя РФ от 30.01.14 №31/пр</t>
  </si>
  <si>
    <t>Обивка стен кровельной сталью: оцинкованной по войлоку,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_______
применительно</t>
  </si>
  <si>
    <t>7035,28
316,5</t>
  </si>
  <si>
    <t xml:space="preserve">10.15. Обивка стен кровельной сталью: оцинкованной по войлоку: ОЗП=16,08; ЭМ=10,06; ЗПМ=16,08; МАТ=3,1
 </t>
  </si>
  <si>
    <t>ФССЦ-101-1704
--------------------
Приказ Минстроя РФ от 30.01.14 №31/пр</t>
  </si>
  <si>
    <t xml:space="preserve">Войлок строительный, т
 </t>
  </si>
  <si>
    <t xml:space="preserve">Войлок строительный; МАТ=2,681
 </t>
  </si>
  <si>
    <t xml:space="preserve">                                   Утепление чердачного перекрытия</t>
  </si>
  <si>
    <t>16,498
(824,9*2) / 100</t>
  </si>
  <si>
    <t>ФССЦ-101-7194
--------------------
Приказ Минстроя РФ от 30.01.14 №31/пр</t>
  </si>
  <si>
    <t xml:space="preserve">ИЗОСПАН А    19,41/(39,20/10)=4,952, м2
 </t>
  </si>
  <si>
    <t>948,635
824,9*1,15</t>
  </si>
  <si>
    <t xml:space="preserve">; МАТ=4,952
 </t>
  </si>
  <si>
    <t xml:space="preserve">ИЗОСПАН В        13,6/(27,5/10)=4,945, м2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</si>
  <si>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</si>
  <si>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</si>
  <si>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4809,61
498,05</t>
  </si>
  <si>
    <t>165,31
9,29</t>
  </si>
  <si>
    <t xml:space="preserve">12.31. Утепление покрытий плитами: из минеральной ваты или перлита на битумной мастике: ОЗП=16,08; ЭМ=10,68; ЗПМ=16,08; МАТ=6,61
 </t>
  </si>
  <si>
    <t>14568
1238</t>
  </si>
  <si>
    <t>52,371
0,6875</t>
  </si>
  <si>
    <t>432,01
5,67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</si>
  <si>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</si>
  <si>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(ПЗ=3 (ОЗП=3; ЭМ=3 к расх.; ЗПМ=3; МАТ=3 к расх.; ТЗ=3; ТЗМ=3);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</si>
  <si>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13501,79
1156,85</t>
  </si>
  <si>
    <t>474,56
27,86</t>
  </si>
  <si>
    <t>41812
3698</t>
  </si>
  <si>
    <t>121,647
2,0625</t>
  </si>
  <si>
    <t>1003,47
17,01</t>
  </si>
  <si>
    <t>ФССЦ-104-0004
--------------------
Приказ Минстроя РФ от 30.01.14 №31/пр</t>
  </si>
  <si>
    <t xml:space="preserve">Плиты из минеральной ваты на синтетическом связующем М-125 (ГОСТ 9573-96), м3
 </t>
  </si>
  <si>
    <t xml:space="preserve">Плиты из минеральной ваты:на синтетическом связующем М-125 (ГОСТ 9573-82); МАТ=5,619
 </t>
  </si>
  <si>
    <t xml:space="preserve">Плиты теплоизоляционные энергетические гидрофобизированные базальтовые: ПТЭ-125 , размером 2000х1000х50 мм            3820,34/5,16, м3
 </t>
  </si>
  <si>
    <t>ФЕРр53-21-15
--------------------
Приказ Минстроя РФ от 30.01.14 №31/пр</t>
  </si>
  <si>
    <t xml:space="preserve">Устройство промазки и расшивка швов панелей перекрытий раствором снизу, 100 м восстановленной герметизации стыков
НР 73%=86%*0.85 от ФОТ
СП 56%=70%*0.8 от ФОТ
 </t>
  </si>
  <si>
    <t>533,37
507,33</t>
  </si>
  <si>
    <t xml:space="preserve">78.52 Устройство промазки и расшивка швов панелей перекрытий раствором снизу: ОЗП=16,08; ЭМ=10,08; ЗПМ=16,08; МАТ=5,81
 </t>
  </si>
  <si>
    <t xml:space="preserve">                                   Утепление фановых труб - 12 шт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</si>
  <si>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</si>
  <si>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</si>
  <si>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</si>
  <si>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25.13. Изоляция трубопроводов: матами минераловатными марок 75, 100, плитами минераловатными на синтетическом связующем марки 75: ОЗП=16,08; ЭМ=10; ЗПМ=16,08; МАТ=3,09
 </t>
  </si>
  <si>
    <t>ФССЦ-104-0009
--------------------
Приказ Минстроя РФ от 30.01.14 №31/пр</t>
  </si>
  <si>
    <t xml:space="preserve">Маты прошивные из минеральной ваты без обкладок М-100, толщина 60 мм, м3
 </t>
  </si>
  <si>
    <t xml:space="preserve">Маты прошивные из минеральной ваты:без обкладок М-100, толщина 60 мм; МАТ=3,115
 </t>
  </si>
  <si>
    <t>ФССЦ-104-0529
--------------------
Приказ Минстроя РФ от 30.01.14 №31/пр</t>
  </si>
  <si>
    <t xml:space="preserve">Маты теплоизоляционные из стекловолокна URSA, марки М-15-18000-1200-50     1284,6/520,94=2,47, м3
 </t>
  </si>
  <si>
    <t xml:space="preserve">; МАТ=2,47
 </t>
  </si>
  <si>
    <t>0,2261
22,61/100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</si>
  <si>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</si>
  <si>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</si>
  <si>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0,132
13,2/100</t>
  </si>
  <si>
    <t>15600,6
1666,99</t>
  </si>
  <si>
    <t xml:space="preserve">25.63 Покрытие поверхности изоляции трубопроводов: сталью оцинкованной: ОЗП=16,08; ЭМ=7,41; ЗПМ=16,08; МАТ=4,05
 </t>
  </si>
  <si>
    <t xml:space="preserve">                                   Молниезащита</t>
  </si>
  <si>
    <t>ФЕРм08-02-472-09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</si>
  <si>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12 мм, 100 м
НР 81%=95%*0.85 от ФОТ
СП 52%=65%*0.8 от ФОТ
 </t>
  </si>
  <si>
    <t>374,79
200,22</t>
  </si>
  <si>
    <t>69,36
2,57</t>
  </si>
  <si>
    <t xml:space="preserve">54.347 Проводник заземляющий открыто по строительным основаниям: ОЗП=16,08; ЭМ=7,82; ЗПМ=16,08; МАТ=3,17
 </t>
  </si>
  <si>
    <t>1048
80</t>
  </si>
  <si>
    <t>21,3
0,19</t>
  </si>
  <si>
    <t>41,24
0,37</t>
  </si>
  <si>
    <t>ФССЦ-101-1613
--------------------
Приказ Минстроя РФ от 30.01.14 №31/пр</t>
  </si>
  <si>
    <t xml:space="preserve">Сталь круглая углеродистая обыкновенного качества марки ВСт3пс5-1 диаметром 8 мм, т
 </t>
  </si>
  <si>
    <t xml:space="preserve">Сталь углеродистая обыкновенного качества, марка стали ВСт3пс5-1, круглая диаметром 8 мм; МАТ=4,732
 </t>
  </si>
  <si>
    <t>ФССЦ-101-1614
--------------------
Приказ Минстроя РФ от 30.01.14 №31/пр</t>
  </si>
  <si>
    <t xml:space="preserve">Сталь круглая углеродистая обыкновенного качества марки ВСт3пс5-1 диаметром 16 мм, т
 </t>
  </si>
  <si>
    <t xml:space="preserve">Сталь углеродистая обыкновенного качества, марка стали ВСт3пс5-1, круглая диаметром 16мм; МАТ=4,666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</si>
  <si>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</si>
  <si>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</si>
  <si>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</si>
  <si>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</si>
  <si>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54.345 Заземлитель горизонтальный из стали: ОЗП=16,08; ЭМ=7,86; ЗПМ=16,08; МАТ=3,55
 </t>
  </si>
  <si>
    <t>212
16</t>
  </si>
  <si>
    <t>16,6
0,22</t>
  </si>
  <si>
    <t>5,98
0,08</t>
  </si>
  <si>
    <t>ФССЦ-101-2548
--------------------
Приказ Минстроя РФ от 30.01.14 №31/пр</t>
  </si>
  <si>
    <t xml:space="preserve">Сталь полосовая 40х4 мм, т
 </t>
  </si>
  <si>
    <t xml:space="preserve">Сталь полосовая 40*4 мм (ГОСТ 103-76); МАТ=4,05
 </t>
  </si>
  <si>
    <t>10796
625</t>
  </si>
  <si>
    <t>3704,75
46,45</t>
  </si>
  <si>
    <t>111664
10049</t>
  </si>
  <si>
    <t>Итоги по разделу 2 Устройство крыши :</t>
  </si>
  <si>
    <t xml:space="preserve">  Итого Строительные работы</t>
  </si>
  <si>
    <t>3657,53
46</t>
  </si>
  <si>
    <t xml:space="preserve">  Итого Монтажные работы</t>
  </si>
  <si>
    <t>47,22
0,45</t>
  </si>
  <si>
    <t xml:space="preserve">      Материалы</t>
  </si>
  <si>
    <t xml:space="preserve">  Итого по разделу 2 Устройство крыши</t>
  </si>
  <si>
    <t>Итого прямые затраты по смете в ценах 2001г.</t>
  </si>
  <si>
    <t>15215
701</t>
  </si>
  <si>
    <t>4514,05
52,09</t>
  </si>
  <si>
    <t>Итого прямые затраты по смете с учетом индексов, в текущих ценах</t>
  </si>
  <si>
    <t>149681
11270</t>
  </si>
  <si>
    <t>Итоги по смете:</t>
  </si>
  <si>
    <t>4466,83
51,64</t>
  </si>
  <si>
    <t xml:space="preserve">  ВСЕГО по смете</t>
  </si>
  <si>
    <t>ЛОКАЛЬНЫЙ СМЕТНЫЙ РАСЧЕТ №  02-01-01</t>
  </si>
  <si>
    <t>на    Капитальный ремонт крыши</t>
  </si>
  <si>
    <t>Основание:  14-59-АС</t>
  </si>
  <si>
    <t>Составлен(а) в текущих ценах по состоянию на 1кв.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</si>
  <si>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</si>
  <si>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</si>
  <si>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</si>
  <si>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</si>
  <si>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</si>
  <si>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</si>
  <si>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</si>
  <si>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</si>
  <si>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</si>
  <si>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</si>
  <si>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</si>
  <si>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</si>
  <si>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</si>
  <si>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</si>
  <si>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</si>
  <si>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</si>
  <si>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</si>
  <si>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</si>
  <si>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</si>
  <si>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</si>
  <si>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</si>
  <si>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</si>
  <si>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</si>
  <si>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</si>
  <si>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</si>
  <si>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</si>
  <si>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</si>
  <si>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</si>
  <si>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</si>
  <si>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</si>
  <si>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</si>
  <si>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</si>
  <si>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</si>
  <si>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</si>
  <si>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</si>
  <si>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</si>
  <si>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</si>
  <si>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</si>
  <si>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</si>
  <si>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</si>
  <si>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</si>
  <si>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</si>
  <si>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</si>
  <si>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</si>
  <si>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</si>
  <si>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</si>
  <si>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</si>
  <si>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</si>
  <si>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</si>
  <si>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</si>
  <si>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</si>
  <si>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</si>
  <si>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</si>
  <si>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</si>
  <si>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</si>
  <si>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</si>
  <si>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</si>
  <si>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</si>
  <si>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</si>
  <si>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</si>
  <si>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</si>
  <si>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</si>
  <si>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</si>
  <si>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</si>
  <si>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</si>
  <si>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</si>
  <si>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</si>
  <si>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</si>
  <si>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</si>
  <si>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</si>
  <si>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</si>
  <si>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</si>
  <si>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</si>
  <si>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</si>
  <si>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</si>
  <si>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</si>
  <si>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</si>
  <si>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</si>
  <si>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</si>
  <si>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</si>
  <si>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</si>
  <si>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</si>
  <si>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</si>
  <si>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</si>
  <si>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</si>
  <si>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</si>
  <si>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</si>
  <si>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</si>
  <si>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</si>
  <si>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</si>
  <si>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</si>
  <si>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</si>
  <si>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</si>
  <si>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</si>
  <si>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</si>
  <si>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</si>
  <si>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</si>
  <si>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</si>
  <si>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</si>
  <si>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</si>
  <si>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</si>
  <si>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</si>
  <si>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</si>
  <si>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</si>
  <si>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</si>
  <si>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</si>
  <si>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</si>
  <si>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</si>
  <si>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</si>
  <si>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</si>
  <si>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</si>
  <si>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</si>
  <si>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</si>
  <si>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</si>
  <si>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</si>
  <si>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</si>
  <si>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</si>
  <si>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</si>
  <si>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</si>
  <si>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</si>
  <si>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</si>
  <si>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</si>
  <si>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</si>
  <si>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</si>
  <si>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</si>
  <si>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</si>
  <si>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</si>
  <si>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</si>
  <si>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</si>
  <si>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</si>
  <si>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</si>
  <si>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</si>
  <si>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</si>
  <si>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</si>
  <si>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</si>
  <si>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</si>
  <si>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</si>
  <si>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</si>
  <si>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</si>
  <si>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</si>
  <si>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</si>
  <si>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</si>
  <si>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</si>
  <si>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</si>
  <si>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</si>
  <si>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</si>
  <si>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</si>
  <si>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</si>
  <si>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</si>
  <si>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</si>
  <si>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</si>
  <si>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</si>
  <si>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</si>
  <si>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</si>
  <si>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</si>
  <si>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</si>
  <si>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</si>
  <si>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</si>
  <si>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</si>
  <si>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</si>
  <si>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</si>
  <si>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</si>
  <si>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</si>
  <si>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</si>
  <si>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</si>
  <si>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</si>
  <si>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</si>
  <si>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</si>
  <si>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</si>
  <si>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</si>
  <si>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</si>
  <si>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</si>
  <si>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</si>
  <si>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</si>
  <si>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</si>
  <si>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</si>
  <si>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</si>
  <si>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</si>
  <si>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</si>
  <si>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</si>
  <si>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</si>
  <si>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</si>
  <si>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</si>
  <si>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</si>
  <si>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</si>
  <si>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</si>
  <si>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</si>
  <si>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</si>
  <si>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</si>
  <si>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</si>
  <si>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</si>
  <si>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</si>
  <si>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</si>
  <si>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</si>
  <si>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</si>
  <si>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</si>
  <si>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</si>
  <si>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</si>
  <si>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</si>
  <si>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</si>
  <si>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</si>
  <si>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</si>
  <si>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</si>
  <si>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</si>
  <si>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</si>
  <si>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</si>
  <si>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</si>
  <si>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</si>
  <si>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</si>
  <si>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</si>
  <si>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</si>
  <si>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</si>
  <si>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</si>
  <si>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</si>
  <si>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</si>
  <si>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</si>
  <si>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</si>
  <si>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</si>
  <si>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</si>
  <si>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</si>
  <si>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</si>
  <si>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</si>
  <si>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</si>
  <si>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</si>
  <si>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</si>
  <si>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</si>
  <si>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</si>
  <si>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</si>
  <si>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</si>
  <si>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</si>
  <si>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</si>
  <si>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</si>
  <si>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</si>
  <si>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</si>
  <si>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</si>
  <si>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</si>
  <si>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</si>
  <si>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</si>
  <si>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</si>
  <si>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</si>
  <si>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</si>
  <si>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</si>
  <si>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</si>
  <si>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</si>
  <si>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</si>
  <si>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</si>
  <si>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</si>
  <si>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</si>
  <si>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</si>
  <si>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</si>
  <si>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</si>
  <si>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</si>
  <si>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</si>
  <si>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</si>
  <si>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</si>
  <si>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</si>
  <si>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</si>
  <si>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</si>
  <si>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</si>
  <si>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</si>
  <si>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</si>
  <si>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</si>
  <si>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</si>
  <si>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</si>
  <si>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</si>
  <si>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</si>
  <si>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</si>
  <si>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</si>
  <si>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</si>
  <si>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</si>
  <si>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</si>
  <si>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</si>
  <si>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</si>
  <si>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</si>
  <si>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</si>
  <si>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</si>
  <si>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</si>
  <si>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</si>
  <si>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</si>
  <si>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</si>
  <si>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</si>
  <si>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</si>
  <si>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</si>
  <si>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</si>
  <si>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</si>
  <si>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</si>
  <si>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</si>
  <si>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</si>
  <si>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</si>
  <si>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</si>
  <si>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</si>
  <si>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</si>
  <si>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</si>
  <si>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</si>
  <si>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</si>
  <si>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</si>
  <si>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</si>
  <si>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</si>
  <si>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</si>
  <si>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</si>
  <si>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</si>
  <si>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</si>
  <si>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</si>
  <si>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</si>
  <si>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</si>
  <si>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</si>
  <si>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</si>
  <si>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</si>
  <si>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</si>
  <si>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</si>
  <si>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</si>
  <si>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</si>
  <si>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</si>
  <si>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</si>
  <si>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</si>
  <si>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</si>
  <si>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</si>
  <si>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</si>
  <si>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</si>
  <si>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</si>
  <si>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</si>
  <si>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45.68 Разборка покрытий кровель: ОЗП=16,08; ЭМ=3,01; ЗПМ=16,08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</si>
  <si>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</si>
  <si>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</si>
  <si>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</si>
  <si>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</si>
  <si>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 xml:space="preserve">83.1 Разборка деревянных элементов конструкций крыш: ОЗП=16,08; ЭМ=11,57; ЗПМ=16,08
 </t>
  </si>
  <si>
    <t>4813
1045</t>
  </si>
  <si>
    <t>15,16
0,46</t>
  </si>
  <si>
    <t>158,76
4,82</t>
  </si>
  <si>
    <t>ФЕР10-01-002-01
--------------------
Приказ Минстроя РФ от 30.01.14 №31/пр</t>
  </si>
  <si>
    <t xml:space="preserve">Демонтаж. Установка стропил, 1 м3 древесины в конструкции
(Демонтаж ПЗ=0,8 (ОЗП=0,8; ЭМ=0,8 к расх.; ЗПМ=0,8; МАТ=0 к расх.; ТЗ=0,8; ТЗМ=0,8))
НР 90%=118%*(0.9*0.85) от ФОТ
СП 43%=63%*(0.85*0.8) от ФОТ
 </t>
  </si>
  <si>
    <t>190,73
160,15</t>
  </si>
  <si>
    <t>30,58
1,62</t>
  </si>
  <si>
    <t xml:space="preserve">10.4. Установка стропил: ОЗП=16,08; ЭМ=9,92; ЗПМ=16,08; МАТ=3,69
 </t>
  </si>
  <si>
    <t>1141
96</t>
  </si>
  <si>
    <t>19,272
0,12</t>
  </si>
  <si>
    <t>72,46
0,45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</si>
  <si>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</si>
  <si>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</si>
  <si>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2466,21
2455,84</t>
  </si>
  <si>
    <t xml:space="preserve">83.2 Разборка слуховых окон: ОЗП=16,08; ЭМ=4,67; ЗПМ=16,08
 </t>
  </si>
  <si>
    <t>ФЕРр58-3-1
--------------------
Приказ Минстроя РФ от 30.01.14 №31/пр</t>
  </si>
  <si>
    <t xml:space="preserve">Разборка мелких покрытий и обделок из листовой стали: поясков, сандриков, желобов, отливов, свесов и т.п., 100 м труб и покрытий
НР 71%=83%*0.85 от ФОТ
СП 52%=65%*0.8 от ФОТ
 </t>
  </si>
  <si>
    <t>71,18
70,98</t>
  </si>
  <si>
    <t xml:space="preserve">83.3 Разборка мелких покрытий и обделок из листовой стали: ОЗП=16,08; ЭМ=4,75; ЗПМ=16,08
 </t>
  </si>
  <si>
    <t>ФЕРр69-9-1
--------------------
Приказ Минстроя РФ от 30.01.14 №31/пр</t>
  </si>
  <si>
    <t xml:space="preserve">Очистка помещений от строительного мусора, 100 т мусора
НР 66%=78%*0.85 от ФОТ
СП 40%=50%*0.8 от ФОТ
 </t>
  </si>
  <si>
    <t>1,2372
2,062*0,6</t>
  </si>
  <si>
    <t>1553,82
1553,82</t>
  </si>
  <si>
    <t xml:space="preserve">93.16 Очистка помещений от строительного мусора: ОЗП=16,08
 </t>
  </si>
  <si>
    <t>ФЕР46-04-008-01
--------------------
Приказ Минстроя РФ от 30.01.14 №31/пр</t>
  </si>
  <si>
    <t xml:space="preserve">Разборка покрытий кровель: из рулонных материалов, 100 м2 покрытия
НР 84%=110%*(0.9*0.85) от ФОТ
СП 48%=70%*(0.85*0.8) от ФОТ
 </t>
  </si>
  <si>
    <t>153,59
112,16</t>
  </si>
  <si>
    <t>ФЕР10-01-039-05
--------------------
Приказ Минстроя России от 12.11.14 №703/пр</t>
  </si>
  <si>
    <t xml:space="preserve">Демонтаж:Установка люков в перекрытиях, площадь проема до 2 м2, 100 м2 проемов
(Демонтаж ПЗ=0,5 (ОЗП=0,5; ЭМ=0,5 к расх.; ЗПМ=0,5; МАТ=0 к расх.; ТЗ=0,5; ТЗМ=0,5))
НР 90%=118%*(0.9*0.85) от ФОТ
СП 43%=63%*(0.85*0.8) от ФОТ
 </t>
  </si>
  <si>
    <t>1017,27
514,67</t>
  </si>
  <si>
    <t>502,6
65,41</t>
  </si>
  <si>
    <t xml:space="preserve">10.95. Установка люков в перекрытиях: ОЗП=16,08; ЭМ=11,13; ЗПМ=16,08; МАТ=8,06
 </t>
  </si>
  <si>
    <t>145
32</t>
  </si>
  <si>
    <t>60,835
4,845</t>
  </si>
  <si>
    <t>1,56
0,12</t>
  </si>
  <si>
    <t>ФЕР12-01-012-01
--------------------
Приказ Минстроя РФ от 30.01.14 №31/пр</t>
  </si>
  <si>
    <t xml:space="preserve">Демонтаж. Ограждение кровель перилами, 100 м ограждения
(Демонтаж ПЗ=0,5 (ОЗП=0,5; ЭМ=0,5 к расх.; ЗПМ=0,5; МАТ=0 к расх.; ТЗ=0,5; ТЗМ=0,5))
НР 92%=120%*(0.9*0.85) от ФОТ
СП 44%=65%*(0.85*0.8) от ФОТ
 </t>
  </si>
  <si>
    <t>1,708
170,8/100</t>
  </si>
  <si>
    <t>57,24
29,55</t>
  </si>
  <si>
    <t>27,69
1,96</t>
  </si>
  <si>
    <t xml:space="preserve">12.29. Ограждение кровель перилами: ОЗП=16,08; ЭМ=9,36; ЗПМ=16,08; МАТ=4,08
 </t>
  </si>
  <si>
    <t>440
48</t>
  </si>
  <si>
    <t>3,335
0,145</t>
  </si>
  <si>
    <t>5,7
0,25</t>
  </si>
  <si>
    <t>ФССЦпг01-01-01-041
--------------------
Приказ Минстроя РФ от 30.01.14 №31/пр</t>
  </si>
  <si>
    <t xml:space="preserve">Погрузочные работы при автомобильных перевозках: мусора строительного с погрузкой вручную, 1 т груза
НР 0%=0%*0.85 от ФОТ
СП 0%=0%*0.8 от ФОТ
 </t>
  </si>
  <si>
    <t>42,98
42,98</t>
  </si>
  <si>
    <t xml:space="preserve">Мусор строительный, вручную: погрузка; ЭМ=10,32
 </t>
  </si>
  <si>
    <t>ФССЦпг01-01-01-043
--------------------
Приказ Минстроя РФ от 30.01.14 №31/пр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</si>
  <si>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</si>
  <si>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ЭМ=11,26
 </t>
  </si>
  <si>
    <t>ФССЦпг03-21-01-015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</si>
  <si>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15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</si>
  <si>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15 км.: I класс груза; ЭМ=8,75
 </t>
  </si>
  <si>
    <t>Итого прямые затраты по разделу в ценах 2001г.</t>
  </si>
  <si>
    <t>4419
76</t>
  </si>
  <si>
    <t>809,3
5,64</t>
  </si>
  <si>
    <t>Итого прямые затраты по разделу с учетом индексов, в текущих ценах</t>
  </si>
  <si>
    <t>38017
1221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</si>
  <si>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</si>
  <si>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</si>
  <si>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</si>
  <si>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</si>
  <si>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 (ремонтно-строительные)</t>
  </si>
  <si>
    <t>198,45
4,82</t>
  </si>
  <si>
    <t xml:space="preserve">  Деревянные конструкции</t>
  </si>
  <si>
    <t>74,02
0,57</t>
  </si>
  <si>
    <t xml:space="preserve">  Прочие ремонтно-строительные работы</t>
  </si>
  <si>
    <t xml:space="preserve">  Кровли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</si>
  <si>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</si>
  <si>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</si>
  <si>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</si>
  <si>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</si>
  <si>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</si>
  <si>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</si>
  <si>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</si>
  <si>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</si>
  <si>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</si>
  <si>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</si>
  <si>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</si>
  <si>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</si>
  <si>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</si>
  <si>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>6140
531</t>
  </si>
  <si>
    <t>27,7035
0,1875</t>
  </si>
  <si>
    <t>359,09
2,43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</si>
  <si>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</si>
  <si>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</si>
  <si>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1,9714
197,14/100</t>
  </si>
  <si>
    <t>2492,19
252,73</t>
  </si>
  <si>
    <t>40,78
5,94</t>
  </si>
  <si>
    <t xml:space="preserve">83.30 Устройство обрешетки сплошной из досок: ОЗП=16,08; ЭМ=9,59; ЗПМ=16,08; МАТ=5,47
 </t>
  </si>
  <si>
    <t>767
193</t>
  </si>
  <si>
    <t>31,83
0,44</t>
  </si>
  <si>
    <t>62,75
0,87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</si>
  <si>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</si>
  <si>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</si>
  <si>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</si>
  <si>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</si>
  <si>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83.31 Устройство обрешетки с прозорами из досок и брусков под кровлю: из листовой стали: ОЗП=16,08; ЭМ=9,54; ЗПМ=16,08; МАТ=5,22
 </t>
  </si>
  <si>
    <t>1660
450</t>
  </si>
  <si>
    <t>21,35
0,32</t>
  </si>
  <si>
    <t>140,13
2,1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</si>
  <si>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</si>
  <si>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</si>
  <si>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</si>
  <si>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</si>
  <si>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ОЗП=16,08; ЭМ=10,17; ЗПМ=16,08; МАТ=5,44
 </t>
  </si>
  <si>
    <t>1403
145</t>
  </si>
  <si>
    <t>7,6245
0,1375</t>
  </si>
  <si>
    <t>38,12
0,69</t>
  </si>
  <si>
    <t>ФССЦ-101-2001
--------------------
Приказ Минстроя РФ от 30.01.14 №31/пр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</si>
  <si>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</si>
  <si>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МАТ=1,937
 </t>
  </si>
  <si>
    <t>ФССЦ-101-2007
--------------------
Приказ Минстроя РФ от 30.01.14 №31/пр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</si>
  <si>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</si>
  <si>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МАТ=2,326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</si>
  <si>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</si>
  <si>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</si>
  <si>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</si>
  <si>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83.34 Устройство покрытия из рулонных материалов: насухо без промазки кромок: ОЗП=16,08; ЭМ=10,07; ЗПМ=16,08; МАТ=4,8
 </t>
  </si>
  <si>
    <t>ФССЦ-101-0852
--------------------
Приказ Минстроя РФ от 30.01.14 №31/пр</t>
  </si>
  <si>
    <t xml:space="preserve">Рубероид кровельный с крупнозернистой посыпкой марки РКК-350б, м2
 </t>
  </si>
  <si>
    <t xml:space="preserve">Рубероид кровельный с крупнозернистой посыпкой марки: РКК-350б; МАТ=4,797
 </t>
  </si>
  <si>
    <t>ФССЦ-101-7200
--------------------
Приказ Минстроя РФ от 30.01.14 №31/пр</t>
  </si>
  <si>
    <t xml:space="preserve">ИЗОСПАН D 18,30/(37,5/10)=4,88, м2
 </t>
  </si>
  <si>
    <t xml:space="preserve">; МАТ=4,88
 </t>
  </si>
  <si>
    <t>ФЕР12-01-023-01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</si>
  <si>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</si>
  <si>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</si>
  <si>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</si>
  <si>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12.50. Устройство кровли из металлочерепицы (с отделочным покрытием): ОЗП=16,08; ЭМ=10,39; ЗПМ=16,08; МАТ=3,12
 </t>
  </si>
  <si>
    <t>13871
1994</t>
  </si>
  <si>
    <t>44,3095
0,9875</t>
  </si>
  <si>
    <t>410,62
9,15</t>
  </si>
  <si>
    <t>ФССЦ-101-4136
--------------------
Приказ Минстроя РФ от 30.01.14 №31/пр</t>
  </si>
  <si>
    <t xml:space="preserve">Металлочерепица «Монтеррей», м2
 </t>
  </si>
  <si>
    <t xml:space="preserve">Металлочерепица «Монтеррей»; МАТ=3,308
 </t>
  </si>
  <si>
    <t>101-3845</t>
  </si>
  <si>
    <t xml:space="preserve">Профилированный лист оцинкованный: НС44-1000-0,7, т
 </t>
  </si>
  <si>
    <t>8,460771
8,3*1,1*926,7/1000</t>
  </si>
  <si>
    <t xml:space="preserve">Профилированный лист оцинкованный: НС44-1000-0,7; МАТ=3,047
 </t>
  </si>
  <si>
    <t>ФЕР12-01-009-01
--------------------
Приказ Минстроя РФ от 30.01.14 №31/пр</t>
  </si>
  <si>
    <t xml:space="preserve">Устройство желобов: настенных, 100 м желобов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</si>
  <si>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19135,17
831,36</t>
  </si>
  <si>
    <t>370,19
35,61</t>
  </si>
  <si>
    <t xml:space="preserve">12.26. Устройство желобов: ОЗП=16,08; ЭМ=10,72; ЗПМ=16,08; МАТ=3,71
 </t>
  </si>
  <si>
    <t>6829
981</t>
  </si>
  <si>
    <t>97,4625
2,6375</t>
  </si>
  <si>
    <t>167,83
4,54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</si>
  <si>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</si>
  <si>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</si>
  <si>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</si>
  <si>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</si>
  <si>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25.104 Огнебиозащитное покрытие деревянных конструкций составами 'Пирилакс' (любой модификации): ОЗП=16,08; ЭМ=10,52; ЗПМ=16,08; МАТ=19,06
 </t>
  </si>
  <si>
    <t>11993
257</t>
  </si>
  <si>
    <t>14,8465
0,175</t>
  </si>
  <si>
    <t>118,03
1,39</t>
  </si>
  <si>
    <t>113-8070</t>
  </si>
  <si>
    <t xml:space="preserve">Антисептик-антипирен 'ПИРИЛАКС СС-2' для древесины, кг
 </t>
  </si>
  <si>
    <t xml:space="preserve">Антисептик-антипирен 'ПИРИЛАКС СС-2' для древесины; МАТ=10,682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</si>
  <si>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</si>
  <si>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</si>
  <si>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</si>
  <si>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356
64</t>
  </si>
  <si>
    <t>139,9205
12,1125</t>
  </si>
  <si>
    <t>3,58
0,31</t>
  </si>
  <si>
    <t>ФССЦ-101-0889
--------------------
Приказ Минстроя РФ от 30.01.14 №31/пр</t>
  </si>
  <si>
    <t xml:space="preserve">Скобяные изделия для блоков входных дверей в помещение однопольных, компл.
 </t>
  </si>
  <si>
    <t xml:space="preserve">Скобяные изделия для блоков входных дверей в помещение: однопольных; МАТ=3,745
 </t>
  </si>
  <si>
    <t xml:space="preserve">                                   Элементы стропильной системы</t>
  </si>
  <si>
    <t>ФЕРр58-15-1
--------------------
Приказ Минстроя РФ от 30.01.14 №31/пр</t>
  </si>
  <si>
    <t xml:space="preserve">Перенавеска водосточных труб: с земли, лестниц или подмостей, 100 м труб
НР 71%=83%*0.85 от ФОТ
СП 52%=65%*0.8 от ФОТ
 </t>
  </si>
  <si>
    <t>529,88
521,86</t>
  </si>
  <si>
    <t xml:space="preserve">83.42 Перенавеска водосточных труб: ОЗП=16,08; МАТ=3,37
 </t>
  </si>
  <si>
    <t>ФССЦ-301-1104
--------------------
Приказ Минстроя РФ от 30.01.14 №31/пр</t>
  </si>
  <si>
    <t xml:space="preserve">Воронка водосточная из оцинкованной стали толщиной 0,55 диаметром 215 мм, шт.
 </t>
  </si>
  <si>
    <t xml:space="preserve">Воронка водосточная из оцинкованной стали толщиной 0,55 диаметром 215 мм; МАТ=2,986
 </t>
  </si>
  <si>
    <t>ФССЦ-201-1101
--------------------
Приказ Минстроя РФ от 30.01.14 №31/пр</t>
  </si>
  <si>
    <t xml:space="preserve">Звенья водосточных труб из оцинкованной стали толщиной 0,55 мм, диаметром 140 мм, марка ТВ-140, м
 </t>
  </si>
  <si>
    <t xml:space="preserve">Звенья водосточных труб из оцинкованной стали толщиной 0,55 мм, диа­метром 140 мм, марка ТВ-140; МАТ=2,666
 </t>
  </si>
  <si>
    <t>ФССЦ-301-5841
--------------------
Приказ Минстроя РФ от 30.01.14 №31/пр</t>
  </si>
  <si>
    <t xml:space="preserve">Колено трубы (60°) МП, размер 76х102 мм, шт.
 </t>
  </si>
  <si>
    <t xml:space="preserve">Колено трубы (60°) МП, размер 76х102 мм; МАТ=2,652
 </t>
  </si>
  <si>
    <t>ФССЦ-201-1103
--------------------
Приказ Минстроя РФ от 30.01.14 №31/пр</t>
  </si>
  <si>
    <t xml:space="preserve">Отливы (отметы) из оцинкованной стали толщиной 0,55 мм диаметром 140 мм, шт.
 </t>
  </si>
  <si>
    <t xml:space="preserve">Отливы (отметы) из оцинкованной стали толщиной 0,55 мм диаметром 140 мм; МАТ=4,658
 </t>
  </si>
  <si>
    <t>ФЕР10-01-022-06
применительно
--------------------
Приказ Минстроя РФ от 30.01.14 №31/пр</t>
  </si>
  <si>
    <t>Устройство обшивки из оцинкованной стали участков кровли по скату к вент. каналам и фановым трубам, 100 м2 потолка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_______
применительно</t>
  </si>
  <si>
    <t>1,588
158,8/100</t>
  </si>
  <si>
    <t>4989,46
233,94</t>
  </si>
  <si>
    <t xml:space="preserve">10.52. Подшивка потолков: сталью кровельной оцинкованной по дереву: ОЗП=16,08; ЭМ=10,06; ЗПМ=16,08; МАТ=3,24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</si>
  <si>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</si>
  <si>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</si>
  <si>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</si>
  <si>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>402
48</t>
  </si>
  <si>
    <t>7,6705
0,3625</t>
  </si>
  <si>
    <t>4,76
0,22</t>
  </si>
  <si>
    <t>ФССЦ-201-0777
--------------------
Приказ Минстроя РФ от 30.01.14 №31/пр</t>
  </si>
  <si>
    <t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</si>
  <si>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МАТ=4,086
 </t>
  </si>
  <si>
    <t>ФССЦ-508-0022
--------------------
Приказ Минстроя РФ от 30.01.14 №31/пр</t>
  </si>
  <si>
    <t xml:space="preserve">Канат двойной свивки типа ЛК-Р, конструкции 6х19(1+6+6/6)+1 о.с., без покрытия из проволок марки В, маркировочная группа 1570 н/мм2 и менее, диаметром 8 мм, 10 м
 </t>
  </si>
  <si>
    <t xml:space="preserve">Канат двойной свивки типа ЛК-Р, конструкции 6х19(1+6+6/6)+1 о.с., без покрытия из проволок марки В, маркировочная группа 1570 н/мм2 и менее, диаметром 8 мм; МАТ=2,059
 </t>
  </si>
  <si>
    <t>ФССЦ-502-0632
--------------------
Приказ Минстроя РФ от 30.01.14 №31/пр</t>
  </si>
  <si>
    <t xml:space="preserve">Кольцо опорное, шт.
 </t>
  </si>
  <si>
    <t xml:space="preserve">Кольцо опорное; МАТ=2,265
 </t>
  </si>
  <si>
    <t>1104
129</t>
  </si>
  <si>
    <t>13,1
0,62</t>
  </si>
  <si>
    <t>Каталог ТСЦ 2015/1 101-2410-20002</t>
  </si>
  <si>
    <t xml:space="preserve">Планка оцинкованная, с полимерным покрытием конька металлочерепичного: плоского, с полкой 190мм                        140,93/5,16, м
 </t>
  </si>
  <si>
    <t xml:space="preserve">; МАТ=5,16
 </t>
  </si>
  <si>
    <t>Каталог ТСЦ 2015/1 101-2410-20007</t>
  </si>
  <si>
    <t xml:space="preserve">Планка примыкания верхняя металлочерепичная оцинкованная, с полимерным покрытием         143,45/5,16, м
 </t>
  </si>
  <si>
    <t>Каталог ТСЦ 2015/1 101-2410-20008</t>
  </si>
  <si>
    <t xml:space="preserve">Планка примыкания нижняя металлочерепичная оцинкованная, с полимерным покрытием    143,45/5,16, м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</si>
  <si>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</si>
  <si>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</si>
  <si>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0,85
85/100</t>
  </si>
  <si>
    <t>658,01
79,9</t>
  </si>
  <si>
    <t>15,55
0,25</t>
  </si>
  <si>
    <t xml:space="preserve">13.100 Окраска металлических огрунтованных поверхностей: эмалью ПФ-115: ОЗП=16,08; ЭМ=10,21; ЗПМ=16,08; МАТ=4,42
 </t>
  </si>
  <si>
    <t>8,809
0,025</t>
  </si>
  <si>
    <t>7,49
0,02</t>
  </si>
  <si>
    <t>Устройство обшивки из оцинкованной стали боковых поверхностей слуховых окон, 100 м2 потолка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_______
применительно</t>
  </si>
  <si>
    <t>0,255
25,5/100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</si>
  <si>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</si>
  <si>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</si>
  <si>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</si>
  <si>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</si>
  <si>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9.32. Монтаж лестниц прямолинейных и криволинейных, пожарных с ограждением: ОЗП=16,08; ЭМ=10,29; ЗПМ=16,08; МАТ=4,9
 </t>
  </si>
  <si>
    <t>895
161</t>
  </si>
  <si>
    <t>37,2255
7,05</t>
  </si>
  <si>
    <t>3,74
0,71</t>
  </si>
  <si>
    <t>201-0763</t>
  </si>
  <si>
    <t xml:space="preserve">Отдельные конструктивные элементы зданий и сооружений с преобладанием гнутосварочных профилей и круглых труб, средняя масса сборочной единицы до 0.1т, т
 </t>
  </si>
  <si>
    <t xml:space="preserve">Отдельные конструктивные элементы зданий и сооружений с преобладанием гнутосварочных профилей и круглых труб, средняя масса сборочной единицы до 0.1т; МАТ=4,444
 </t>
  </si>
  <si>
    <t>Составил:____________________________</t>
  </si>
  <si>
    <t>Непредвиденные расходы 2%</t>
  </si>
  <si>
    <t>Итого</t>
  </si>
  <si>
    <t>НДС 18%</t>
  </si>
  <si>
    <t>Капитальный ремонт  многоквартирного  дома, расположенного по адресу:улица Б.Куна,16 в г.Томске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</si>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</sst>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right" vertical="top" wrapText="1"/>
    </xf>
    <xf numFmtId="0" fontId="13" fillId="0" borderId="22" xfId="0" applyFont="1" applyBorder="1" applyAlignment="1">
      <alignment horizontal="right" vertical="top" wrapText="1"/>
    </xf>
    <xf numFmtId="0" fontId="13" fillId="0" borderId="1" xfId="0" applyFont="1" applyBorder="1" applyAlignment="1">
      <alignment/>
    </xf>
    <xf numFmtId="0" fontId="13" fillId="0" borderId="22" xfId="0" applyNumberFormat="1" applyFont="1" applyBorder="1" applyAlignment="1">
      <alignment horizontal="right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right" vertical="top" wrapText="1"/>
    </xf>
    <xf numFmtId="0" fontId="13" fillId="0" borderId="26" xfId="0" applyFont="1" applyBorder="1" applyAlignment="1">
      <alignment horizontal="righ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2" fontId="13" fillId="0" borderId="22" xfId="0" applyNumberFormat="1" applyFont="1" applyBorder="1" applyAlignment="1">
      <alignment horizontal="right" vertical="top" wrapText="1"/>
    </xf>
    <xf numFmtId="0" fontId="13" fillId="0" borderId="27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2" fontId="13" fillId="0" borderId="20" xfId="68" applyNumberFormat="1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4" xfId="0" applyFont="1" applyBorder="1" applyAlignment="1" quotePrefix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13" fillId="0" borderId="21" xfId="0" applyFont="1" applyBorder="1" applyAlignment="1">
      <alignment horizontal="left" vertical="top" wrapText="1"/>
    </xf>
    <xf numFmtId="0" fontId="15" fillId="0" borderId="27" xfId="52" applyFont="1" applyBorder="1" applyAlignment="1">
      <alignment horizontal="left" vertical="top" wrapText="1"/>
      <protection/>
    </xf>
    <xf numFmtId="0" fontId="15" fillId="0" borderId="27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showGridLines="0" tabSelected="1" zoomScale="104" zoomScaleNormal="104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9.12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63"/>
      <c r="D1" s="54"/>
      <c r="E1" s="54"/>
      <c r="F1" s="55" t="s">
        <v>709</v>
      </c>
      <c r="G1" s="54"/>
      <c r="H1" s="54"/>
      <c r="I1" s="63"/>
      <c r="J1" s="52"/>
      <c r="K1" s="52"/>
      <c r="L1" s="52"/>
      <c r="M1" s="52"/>
    </row>
    <row r="2" spans="1:13" s="49" customFormat="1" ht="12">
      <c r="A2" s="57" t="s">
        <v>440</v>
      </c>
      <c r="B2" s="53"/>
      <c r="D2" s="56"/>
      <c r="F2" s="58" t="s">
        <v>225</v>
      </c>
      <c r="G2" s="58"/>
      <c r="I2" s="59"/>
      <c r="J2" s="57"/>
      <c r="K2" s="57" t="s">
        <v>441</v>
      </c>
      <c r="L2" s="57"/>
      <c r="M2" s="52"/>
    </row>
    <row r="3" spans="1:13" s="49" customFormat="1" ht="12">
      <c r="A3" s="57" t="s">
        <v>442</v>
      </c>
      <c r="E3" s="52"/>
      <c r="F3" s="52"/>
      <c r="G3" s="52"/>
      <c r="H3" s="52"/>
      <c r="I3" s="52"/>
      <c r="J3" s="57"/>
      <c r="K3" s="57" t="s">
        <v>150</v>
      </c>
      <c r="L3" s="57"/>
      <c r="M3" s="52"/>
    </row>
    <row r="4" spans="1:13" s="49" customFormat="1" ht="12">
      <c r="A4" s="52"/>
      <c r="B4" s="52"/>
      <c r="C4" s="52"/>
      <c r="F4" s="60" t="s">
        <v>138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226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139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456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107" t="s">
        <v>140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12">
      <c r="A11" s="66" t="s">
        <v>445</v>
      </c>
      <c r="B11" s="67"/>
      <c r="C11" s="108">
        <v>4400290.8</v>
      </c>
      <c r="D11" s="108"/>
      <c r="E11" s="108"/>
      <c r="F11" s="57" t="s">
        <v>444</v>
      </c>
      <c r="G11" s="68"/>
      <c r="H11" s="68"/>
      <c r="I11" s="68"/>
      <c r="J11" s="68"/>
      <c r="K11" s="132" t="s">
        <v>710</v>
      </c>
      <c r="L11" s="132"/>
      <c r="M11" s="132"/>
      <c r="N11" s="132"/>
    </row>
    <row r="12" spans="1:14" ht="12">
      <c r="A12" s="66" t="s">
        <v>455</v>
      </c>
      <c r="B12" s="67"/>
      <c r="C12" s="69"/>
      <c r="D12" s="109">
        <v>650767</v>
      </c>
      <c r="E12" s="109"/>
      <c r="F12" s="57" t="s">
        <v>444</v>
      </c>
      <c r="G12" s="68"/>
      <c r="H12" s="68"/>
      <c r="I12" s="68"/>
      <c r="J12" s="68"/>
      <c r="K12" s="132"/>
      <c r="L12" s="132"/>
      <c r="M12" s="132"/>
      <c r="N12" s="132"/>
    </row>
    <row r="13" spans="1:14" ht="12">
      <c r="A13" s="66" t="s">
        <v>141</v>
      </c>
      <c r="B13" s="46"/>
      <c r="C13" s="70"/>
      <c r="D13" s="71"/>
      <c r="E13" s="72"/>
      <c r="F13" s="73"/>
      <c r="G13" s="74"/>
      <c r="H13" s="74"/>
      <c r="I13" s="68"/>
      <c r="J13" s="68"/>
      <c r="K13" s="132"/>
      <c r="L13" s="132"/>
      <c r="M13" s="132"/>
      <c r="N13" s="132"/>
    </row>
    <row r="14" spans="1:13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</row>
    <row r="15" spans="1:14" ht="12.75" customHeight="1">
      <c r="A15" s="105" t="s">
        <v>227</v>
      </c>
      <c r="B15" s="105" t="s">
        <v>452</v>
      </c>
      <c r="C15" s="103" t="s">
        <v>457</v>
      </c>
      <c r="D15" s="103" t="s">
        <v>453</v>
      </c>
      <c r="E15" s="114" t="s">
        <v>142</v>
      </c>
      <c r="F15" s="115"/>
      <c r="G15" s="116"/>
      <c r="H15" s="103" t="s">
        <v>439</v>
      </c>
      <c r="I15" s="114" t="s">
        <v>143</v>
      </c>
      <c r="J15" s="120"/>
      <c r="K15" s="120"/>
      <c r="L15" s="111"/>
      <c r="M15" s="110" t="s">
        <v>454</v>
      </c>
      <c r="N15" s="111"/>
    </row>
    <row r="16" spans="1:14" s="50" customFormat="1" ht="38.25" customHeight="1">
      <c r="A16" s="106"/>
      <c r="B16" s="106"/>
      <c r="C16" s="106"/>
      <c r="D16" s="106"/>
      <c r="E16" s="117"/>
      <c r="F16" s="118"/>
      <c r="G16" s="119"/>
      <c r="H16" s="106"/>
      <c r="I16" s="112"/>
      <c r="J16" s="121"/>
      <c r="K16" s="121"/>
      <c r="L16" s="113"/>
      <c r="M16" s="112"/>
      <c r="N16" s="113"/>
    </row>
    <row r="17" spans="1:14" s="50" customFormat="1" ht="12.75" customHeight="1">
      <c r="A17" s="106"/>
      <c r="B17" s="106"/>
      <c r="C17" s="106"/>
      <c r="D17" s="106"/>
      <c r="E17" s="75" t="s">
        <v>447</v>
      </c>
      <c r="F17" s="75" t="s">
        <v>449</v>
      </c>
      <c r="G17" s="103" t="s">
        <v>451</v>
      </c>
      <c r="H17" s="106"/>
      <c r="I17" s="103" t="s">
        <v>447</v>
      </c>
      <c r="J17" s="103" t="s">
        <v>450</v>
      </c>
      <c r="K17" s="75" t="s">
        <v>449</v>
      </c>
      <c r="L17" s="103" t="s">
        <v>451</v>
      </c>
      <c r="M17" s="105" t="s">
        <v>443</v>
      </c>
      <c r="N17" s="103" t="s">
        <v>447</v>
      </c>
    </row>
    <row r="18" spans="1:14" s="50" customFormat="1" ht="11.25" customHeight="1">
      <c r="A18" s="104"/>
      <c r="B18" s="104"/>
      <c r="C18" s="104"/>
      <c r="D18" s="104"/>
      <c r="E18" s="76" t="s">
        <v>446</v>
      </c>
      <c r="F18" s="75" t="s">
        <v>448</v>
      </c>
      <c r="G18" s="104"/>
      <c r="H18" s="104"/>
      <c r="I18" s="104"/>
      <c r="J18" s="104"/>
      <c r="K18" s="75" t="s">
        <v>448</v>
      </c>
      <c r="L18" s="104"/>
      <c r="M18" s="104"/>
      <c r="N18" s="104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23" t="s">
        <v>459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4" ht="60">
      <c r="A21" s="78">
        <v>1</v>
      </c>
      <c r="B21" s="79" t="s">
        <v>460</v>
      </c>
      <c r="C21" s="79" t="s">
        <v>461</v>
      </c>
      <c r="D21" s="78">
        <v>9.267</v>
      </c>
      <c r="E21" s="80" t="s">
        <v>462</v>
      </c>
      <c r="F21" s="80">
        <v>30.64</v>
      </c>
      <c r="G21" s="80"/>
      <c r="H21" s="81" t="s">
        <v>463</v>
      </c>
      <c r="I21" s="82">
        <v>19331</v>
      </c>
      <c r="J21" s="80">
        <v>18476</v>
      </c>
      <c r="K21" s="80">
        <v>855</v>
      </c>
      <c r="L21" s="80" t="str">
        <f>IF(9.267*0=0," ",TEXT(,ROUND((9.267*0*1),2)))</f>
        <v> </v>
      </c>
      <c r="M21" s="80">
        <v>15.9</v>
      </c>
      <c r="N21" s="80">
        <v>147.35</v>
      </c>
    </row>
    <row r="22" spans="1:14" ht="60">
      <c r="A22" s="78">
        <v>2</v>
      </c>
      <c r="B22" s="79" t="s">
        <v>464</v>
      </c>
      <c r="C22" s="79" t="s">
        <v>465</v>
      </c>
      <c r="D22" s="78">
        <v>10.472</v>
      </c>
      <c r="E22" s="80" t="s">
        <v>466</v>
      </c>
      <c r="F22" s="80" t="s">
        <v>467</v>
      </c>
      <c r="G22" s="80"/>
      <c r="H22" s="81" t="s">
        <v>468</v>
      </c>
      <c r="I22" s="82">
        <v>25090</v>
      </c>
      <c r="J22" s="80">
        <v>20277</v>
      </c>
      <c r="K22" s="80" t="s">
        <v>469</v>
      </c>
      <c r="L22" s="80" t="str">
        <f>IF(10.472*0=0," ",TEXT(,ROUND((10.472*0*1),2)))</f>
        <v> </v>
      </c>
      <c r="M22" s="80" t="s">
        <v>470</v>
      </c>
      <c r="N22" s="80" t="s">
        <v>471</v>
      </c>
    </row>
    <row r="23" spans="1:14" ht="84">
      <c r="A23" s="78">
        <v>3</v>
      </c>
      <c r="B23" s="79" t="s">
        <v>472</v>
      </c>
      <c r="C23" s="79" t="s">
        <v>473</v>
      </c>
      <c r="D23" s="78">
        <v>3.76</v>
      </c>
      <c r="E23" s="80" t="s">
        <v>474</v>
      </c>
      <c r="F23" s="80" t="s">
        <v>475</v>
      </c>
      <c r="G23" s="80"/>
      <c r="H23" s="81" t="s">
        <v>476</v>
      </c>
      <c r="I23" s="82">
        <v>10821</v>
      </c>
      <c r="J23" s="80">
        <v>9680</v>
      </c>
      <c r="K23" s="80" t="s">
        <v>477</v>
      </c>
      <c r="L23" s="80" t="str">
        <f>IF(3.76*0=0," ",TEXT(,ROUND((3.76*0*3.69),2)))</f>
        <v> </v>
      </c>
      <c r="M23" s="80" t="s">
        <v>478</v>
      </c>
      <c r="N23" s="80" t="s">
        <v>479</v>
      </c>
    </row>
    <row r="24" spans="1:14" ht="60">
      <c r="A24" s="78">
        <v>4</v>
      </c>
      <c r="B24" s="79" t="s">
        <v>480</v>
      </c>
      <c r="C24" s="79" t="s">
        <v>481</v>
      </c>
      <c r="D24" s="78">
        <v>0.05</v>
      </c>
      <c r="E24" s="80" t="s">
        <v>482</v>
      </c>
      <c r="F24" s="80">
        <v>10.37</v>
      </c>
      <c r="G24" s="80"/>
      <c r="H24" s="81" t="s">
        <v>483</v>
      </c>
      <c r="I24" s="82">
        <v>1978</v>
      </c>
      <c r="J24" s="80">
        <v>1978</v>
      </c>
      <c r="K24" s="80"/>
      <c r="L24" s="80" t="str">
        <f>IF(0.05*0=0," ",TEXT(,ROUND((0.05*0*1),2)))</f>
        <v> </v>
      </c>
      <c r="M24" s="80">
        <v>309.3</v>
      </c>
      <c r="N24" s="80">
        <v>15.47</v>
      </c>
    </row>
    <row r="25" spans="1:14" ht="72">
      <c r="A25" s="78">
        <v>5</v>
      </c>
      <c r="B25" s="79" t="s">
        <v>484</v>
      </c>
      <c r="C25" s="79" t="s">
        <v>485</v>
      </c>
      <c r="D25" s="78">
        <v>2.662</v>
      </c>
      <c r="E25" s="80" t="s">
        <v>486</v>
      </c>
      <c r="F25" s="80">
        <v>0.2</v>
      </c>
      <c r="G25" s="80"/>
      <c r="H25" s="81" t="s">
        <v>487</v>
      </c>
      <c r="I25" s="82">
        <v>3039</v>
      </c>
      <c r="J25" s="80">
        <v>3039</v>
      </c>
      <c r="K25" s="80"/>
      <c r="L25" s="80" t="str">
        <f>IF(2.662*0=0," ",TEXT(,ROUND((2.662*0*1),2)))</f>
        <v> </v>
      </c>
      <c r="M25" s="80">
        <v>9.1</v>
      </c>
      <c r="N25" s="80">
        <v>24.22</v>
      </c>
    </row>
    <row r="26" spans="1:14" ht="60">
      <c r="A26" s="78">
        <v>6</v>
      </c>
      <c r="B26" s="79" t="s">
        <v>488</v>
      </c>
      <c r="C26" s="79" t="s">
        <v>489</v>
      </c>
      <c r="D26" s="78" t="s">
        <v>490</v>
      </c>
      <c r="E26" s="80" t="s">
        <v>491</v>
      </c>
      <c r="F26" s="80"/>
      <c r="G26" s="80"/>
      <c r="H26" s="81" t="s">
        <v>492</v>
      </c>
      <c r="I26" s="82">
        <v>30906</v>
      </c>
      <c r="J26" s="80">
        <v>30906</v>
      </c>
      <c r="K26" s="80"/>
      <c r="L26" s="80" t="str">
        <f>IF(1.2372*0=0," ",TEXT(,ROUND((1.2372*0*1),2)))</f>
        <v> </v>
      </c>
      <c r="M26" s="80">
        <v>214.32</v>
      </c>
      <c r="N26" s="80">
        <v>265.16</v>
      </c>
    </row>
    <row r="27" spans="1:14" ht="60">
      <c r="A27" s="78">
        <v>7</v>
      </c>
      <c r="B27" s="79" t="s">
        <v>493</v>
      </c>
      <c r="C27" s="79" t="s">
        <v>494</v>
      </c>
      <c r="D27" s="78">
        <v>8.249</v>
      </c>
      <c r="E27" s="80" t="s">
        <v>495</v>
      </c>
      <c r="F27" s="80">
        <v>41.43</v>
      </c>
      <c r="G27" s="80"/>
      <c r="H27" s="81" t="s">
        <v>463</v>
      </c>
      <c r="I27" s="82">
        <v>15903</v>
      </c>
      <c r="J27" s="80">
        <v>14874</v>
      </c>
      <c r="K27" s="80">
        <v>1029</v>
      </c>
      <c r="L27" s="80" t="str">
        <f>IF(8.249*0=0," ",TEXT(,ROUND((8.249*0*1),2)))</f>
        <v> </v>
      </c>
      <c r="M27" s="80">
        <v>14.38</v>
      </c>
      <c r="N27" s="80">
        <v>118.62</v>
      </c>
    </row>
    <row r="28" spans="1:14" ht="96">
      <c r="A28" s="78">
        <v>8</v>
      </c>
      <c r="B28" s="79" t="s">
        <v>496</v>
      </c>
      <c r="C28" s="79" t="s">
        <v>497</v>
      </c>
      <c r="D28" s="78">
        <v>0.0256</v>
      </c>
      <c r="E28" s="80" t="s">
        <v>498</v>
      </c>
      <c r="F28" s="80" t="s">
        <v>499</v>
      </c>
      <c r="G28" s="80"/>
      <c r="H28" s="81" t="s">
        <v>500</v>
      </c>
      <c r="I28" s="82">
        <v>354</v>
      </c>
      <c r="J28" s="80">
        <v>209</v>
      </c>
      <c r="K28" s="80" t="s">
        <v>501</v>
      </c>
      <c r="L28" s="80" t="str">
        <f>IF(0.0256*0=0," ",TEXT(,ROUND((0.0256*0*8.06),2)))</f>
        <v> </v>
      </c>
      <c r="M28" s="80" t="s">
        <v>502</v>
      </c>
      <c r="N28" s="80" t="s">
        <v>503</v>
      </c>
    </row>
    <row r="29" spans="1:14" ht="84">
      <c r="A29" s="78">
        <v>9</v>
      </c>
      <c r="B29" s="79" t="s">
        <v>504</v>
      </c>
      <c r="C29" s="79" t="s">
        <v>505</v>
      </c>
      <c r="D29" s="78" t="s">
        <v>506</v>
      </c>
      <c r="E29" s="80" t="s">
        <v>507</v>
      </c>
      <c r="F29" s="80" t="s">
        <v>508</v>
      </c>
      <c r="G29" s="80"/>
      <c r="H29" s="81" t="s">
        <v>509</v>
      </c>
      <c r="I29" s="82">
        <v>1260</v>
      </c>
      <c r="J29" s="80">
        <v>820</v>
      </c>
      <c r="K29" s="80" t="s">
        <v>510</v>
      </c>
      <c r="L29" s="80" t="str">
        <f>IF(1.708*0=0," ",TEXT(,ROUND((1.708*0*4.08),2)))</f>
        <v> </v>
      </c>
      <c r="M29" s="80" t="s">
        <v>511</v>
      </c>
      <c r="N29" s="80" t="s">
        <v>512</v>
      </c>
    </row>
    <row r="30" spans="1:14" ht="72">
      <c r="A30" s="78">
        <v>10</v>
      </c>
      <c r="B30" s="79" t="s">
        <v>513</v>
      </c>
      <c r="C30" s="79" t="s">
        <v>514</v>
      </c>
      <c r="D30" s="78">
        <v>1</v>
      </c>
      <c r="E30" s="80" t="s">
        <v>515</v>
      </c>
      <c r="F30" s="80"/>
      <c r="G30" s="80"/>
      <c r="H30" s="81" t="s">
        <v>516</v>
      </c>
      <c r="I30" s="82">
        <v>43</v>
      </c>
      <c r="J30" s="80">
        <v>43</v>
      </c>
      <c r="K30" s="80"/>
      <c r="L30" s="80" t="str">
        <f>IF(1*0=0," ",TEXT(,ROUND((1*0*1),2)))</f>
        <v> </v>
      </c>
      <c r="M30" s="80"/>
      <c r="N30" s="80"/>
    </row>
    <row r="31" spans="1:14" ht="72">
      <c r="A31" s="78">
        <v>11</v>
      </c>
      <c r="B31" s="79" t="s">
        <v>517</v>
      </c>
      <c r="C31" s="79" t="s">
        <v>518</v>
      </c>
      <c r="D31" s="78">
        <v>191.35</v>
      </c>
      <c r="E31" s="80">
        <v>3.28</v>
      </c>
      <c r="F31" s="80">
        <v>3.28</v>
      </c>
      <c r="G31" s="80"/>
      <c r="H31" s="81" t="s">
        <v>519</v>
      </c>
      <c r="I31" s="82">
        <v>7071</v>
      </c>
      <c r="J31" s="80"/>
      <c r="K31" s="80">
        <v>7071</v>
      </c>
      <c r="L31" s="80" t="str">
        <f>IF(191.35*0=0," ",TEXT(,ROUND((191.35*0*1),2)))</f>
        <v> </v>
      </c>
      <c r="M31" s="80"/>
      <c r="N31" s="80"/>
    </row>
    <row r="32" spans="1:14" ht="84">
      <c r="A32" s="78">
        <v>12</v>
      </c>
      <c r="B32" s="79" t="s">
        <v>520</v>
      </c>
      <c r="C32" s="79" t="s">
        <v>521</v>
      </c>
      <c r="D32" s="78">
        <v>192.35</v>
      </c>
      <c r="E32" s="80">
        <v>13.38</v>
      </c>
      <c r="F32" s="80">
        <v>13.38</v>
      </c>
      <c r="G32" s="80"/>
      <c r="H32" s="81" t="s">
        <v>522</v>
      </c>
      <c r="I32" s="82">
        <v>22523</v>
      </c>
      <c r="J32" s="80"/>
      <c r="K32" s="80">
        <v>22523</v>
      </c>
      <c r="L32" s="80" t="str">
        <f>IF(192.35*0=0," ",TEXT(,ROUND((192.35*0*1),2)))</f>
        <v> </v>
      </c>
      <c r="M32" s="80"/>
      <c r="N32" s="80"/>
    </row>
    <row r="33" spans="1:14" ht="24">
      <c r="A33" s="122" t="s">
        <v>523</v>
      </c>
      <c r="B33" s="122"/>
      <c r="C33" s="122"/>
      <c r="D33" s="122"/>
      <c r="E33" s="122"/>
      <c r="F33" s="122"/>
      <c r="G33" s="122"/>
      <c r="H33" s="122"/>
      <c r="I33" s="82">
        <v>10697</v>
      </c>
      <c r="J33" s="80">
        <v>6278</v>
      </c>
      <c r="K33" s="80" t="s">
        <v>524</v>
      </c>
      <c r="L33" s="80"/>
      <c r="M33" s="80"/>
      <c r="N33" s="80" t="s">
        <v>525</v>
      </c>
    </row>
    <row r="34" spans="1:14" ht="24">
      <c r="A34" s="122" t="s">
        <v>526</v>
      </c>
      <c r="B34" s="122"/>
      <c r="C34" s="122"/>
      <c r="D34" s="122"/>
      <c r="E34" s="122"/>
      <c r="F34" s="122"/>
      <c r="G34" s="122"/>
      <c r="H34" s="122"/>
      <c r="I34" s="82">
        <v>138319</v>
      </c>
      <c r="J34" s="80">
        <v>100302</v>
      </c>
      <c r="K34" s="80" t="s">
        <v>527</v>
      </c>
      <c r="L34" s="80"/>
      <c r="M34" s="80"/>
      <c r="N34" s="80" t="s">
        <v>525</v>
      </c>
    </row>
    <row r="35" spans="1:14" ht="12">
      <c r="A35" s="122" t="s">
        <v>528</v>
      </c>
      <c r="B35" s="122"/>
      <c r="C35" s="122"/>
      <c r="D35" s="122"/>
      <c r="E35" s="122"/>
      <c r="F35" s="122"/>
      <c r="G35" s="122"/>
      <c r="H35" s="122"/>
      <c r="I35" s="82">
        <v>76927</v>
      </c>
      <c r="J35" s="80"/>
      <c r="K35" s="80"/>
      <c r="L35" s="80"/>
      <c r="M35" s="80"/>
      <c r="N35" s="80"/>
    </row>
    <row r="36" spans="1:14" ht="12">
      <c r="A36" s="122" t="s">
        <v>529</v>
      </c>
      <c r="B36" s="122"/>
      <c r="C36" s="122"/>
      <c r="D36" s="122"/>
      <c r="E36" s="122"/>
      <c r="F36" s="122"/>
      <c r="G36" s="122"/>
      <c r="H36" s="122"/>
      <c r="I36" s="82">
        <v>46755</v>
      </c>
      <c r="J36" s="80"/>
      <c r="K36" s="80"/>
      <c r="L36" s="80"/>
      <c r="M36" s="80"/>
      <c r="N36" s="80"/>
    </row>
    <row r="37" spans="1:14" ht="12">
      <c r="A37" s="123" t="s">
        <v>530</v>
      </c>
      <c r="B37" s="123"/>
      <c r="C37" s="123"/>
      <c r="D37" s="123"/>
      <c r="E37" s="123"/>
      <c r="F37" s="123"/>
      <c r="G37" s="123"/>
      <c r="H37" s="123"/>
      <c r="I37" s="82"/>
      <c r="J37" s="80"/>
      <c r="K37" s="80"/>
      <c r="L37" s="80"/>
      <c r="M37" s="80"/>
      <c r="N37" s="80"/>
    </row>
    <row r="38" spans="1:14" ht="24" customHeight="1">
      <c r="A38" s="122" t="s">
        <v>531</v>
      </c>
      <c r="B38" s="122"/>
      <c r="C38" s="122"/>
      <c r="D38" s="122"/>
      <c r="E38" s="122"/>
      <c r="F38" s="122"/>
      <c r="G38" s="122"/>
      <c r="H38" s="122"/>
      <c r="I38" s="82">
        <v>79256</v>
      </c>
      <c r="J38" s="80"/>
      <c r="K38" s="80"/>
      <c r="L38" s="80"/>
      <c r="M38" s="80"/>
      <c r="N38" s="80">
        <v>265.97</v>
      </c>
    </row>
    <row r="39" spans="1:14" ht="24">
      <c r="A39" s="122" t="s">
        <v>532</v>
      </c>
      <c r="B39" s="122"/>
      <c r="C39" s="122"/>
      <c r="D39" s="122"/>
      <c r="E39" s="122"/>
      <c r="F39" s="122"/>
      <c r="G39" s="122"/>
      <c r="H39" s="122"/>
      <c r="I39" s="82">
        <v>62504</v>
      </c>
      <c r="J39" s="80"/>
      <c r="K39" s="80"/>
      <c r="L39" s="80"/>
      <c r="M39" s="80"/>
      <c r="N39" s="80" t="s">
        <v>533</v>
      </c>
    </row>
    <row r="40" spans="1:14" ht="24">
      <c r="A40" s="122" t="s">
        <v>534</v>
      </c>
      <c r="B40" s="122"/>
      <c r="C40" s="122"/>
      <c r="D40" s="122"/>
      <c r="E40" s="122"/>
      <c r="F40" s="122"/>
      <c r="G40" s="122"/>
      <c r="H40" s="122"/>
      <c r="I40" s="82">
        <v>24497</v>
      </c>
      <c r="J40" s="80"/>
      <c r="K40" s="80"/>
      <c r="L40" s="80"/>
      <c r="M40" s="80"/>
      <c r="N40" s="80" t="s">
        <v>535</v>
      </c>
    </row>
    <row r="41" spans="1:14" ht="12">
      <c r="A41" s="122" t="s">
        <v>536</v>
      </c>
      <c r="B41" s="122"/>
      <c r="C41" s="122"/>
      <c r="D41" s="122"/>
      <c r="E41" s="122"/>
      <c r="F41" s="122"/>
      <c r="G41" s="122"/>
      <c r="H41" s="122"/>
      <c r="I41" s="82">
        <v>63666</v>
      </c>
      <c r="J41" s="80"/>
      <c r="K41" s="80"/>
      <c r="L41" s="80"/>
      <c r="M41" s="80"/>
      <c r="N41" s="80">
        <v>265.16</v>
      </c>
    </row>
    <row r="42" spans="1:14" ht="24">
      <c r="A42" s="122" t="s">
        <v>537</v>
      </c>
      <c r="B42" s="122"/>
      <c r="C42" s="122"/>
      <c r="D42" s="122"/>
      <c r="E42" s="122"/>
      <c r="F42" s="122"/>
      <c r="G42" s="122"/>
      <c r="H42" s="122"/>
      <c r="I42" s="82">
        <v>2441</v>
      </c>
      <c r="J42" s="80"/>
      <c r="K42" s="80"/>
      <c r="L42" s="80"/>
      <c r="M42" s="80"/>
      <c r="N42" s="80" t="s">
        <v>512</v>
      </c>
    </row>
    <row r="43" spans="1:14" ht="12">
      <c r="A43" s="122" t="s">
        <v>538</v>
      </c>
      <c r="B43" s="122"/>
      <c r="C43" s="122"/>
      <c r="D43" s="122"/>
      <c r="E43" s="122"/>
      <c r="F43" s="122"/>
      <c r="G43" s="122"/>
      <c r="H43" s="122"/>
      <c r="I43" s="82">
        <v>7114</v>
      </c>
      <c r="J43" s="80"/>
      <c r="K43" s="80"/>
      <c r="L43" s="80"/>
      <c r="M43" s="80"/>
      <c r="N43" s="80"/>
    </row>
    <row r="44" spans="1:14" ht="12">
      <c r="A44" s="122" t="s">
        <v>539</v>
      </c>
      <c r="B44" s="122"/>
      <c r="C44" s="122"/>
      <c r="D44" s="122"/>
      <c r="E44" s="122"/>
      <c r="F44" s="122"/>
      <c r="G44" s="122"/>
      <c r="H44" s="122"/>
      <c r="I44" s="82">
        <v>22523</v>
      </c>
      <c r="J44" s="80"/>
      <c r="K44" s="80"/>
      <c r="L44" s="80"/>
      <c r="M44" s="80"/>
      <c r="N44" s="80"/>
    </row>
    <row r="45" spans="1:14" ht="24">
      <c r="A45" s="122" t="s">
        <v>540</v>
      </c>
      <c r="B45" s="122"/>
      <c r="C45" s="122"/>
      <c r="D45" s="122"/>
      <c r="E45" s="122"/>
      <c r="F45" s="122"/>
      <c r="G45" s="122"/>
      <c r="H45" s="122"/>
      <c r="I45" s="82">
        <v>262001</v>
      </c>
      <c r="J45" s="80"/>
      <c r="K45" s="80"/>
      <c r="L45" s="80"/>
      <c r="M45" s="80"/>
      <c r="N45" s="80" t="s">
        <v>525</v>
      </c>
    </row>
    <row r="46" spans="1:14" ht="12">
      <c r="A46" s="122" t="s">
        <v>541</v>
      </c>
      <c r="B46" s="122"/>
      <c r="C46" s="122"/>
      <c r="D46" s="122"/>
      <c r="E46" s="122"/>
      <c r="F46" s="122"/>
      <c r="G46" s="122"/>
      <c r="H46" s="122"/>
      <c r="I46" s="82"/>
      <c r="J46" s="80"/>
      <c r="K46" s="80"/>
      <c r="L46" s="80"/>
      <c r="M46" s="80"/>
      <c r="N46" s="80"/>
    </row>
    <row r="47" spans="1:14" ht="12">
      <c r="A47" s="122" t="s">
        <v>542</v>
      </c>
      <c r="B47" s="122"/>
      <c r="C47" s="122"/>
      <c r="D47" s="122"/>
      <c r="E47" s="122"/>
      <c r="F47" s="122"/>
      <c r="G47" s="122"/>
      <c r="H47" s="122"/>
      <c r="I47" s="82">
        <v>38017</v>
      </c>
      <c r="J47" s="80"/>
      <c r="K47" s="80"/>
      <c r="L47" s="80"/>
      <c r="M47" s="80"/>
      <c r="N47" s="80"/>
    </row>
    <row r="48" spans="1:14" ht="12">
      <c r="A48" s="122" t="s">
        <v>543</v>
      </c>
      <c r="B48" s="122"/>
      <c r="C48" s="122"/>
      <c r="D48" s="122"/>
      <c r="E48" s="122"/>
      <c r="F48" s="122"/>
      <c r="G48" s="122"/>
      <c r="H48" s="122"/>
      <c r="I48" s="82">
        <v>101523</v>
      </c>
      <c r="J48" s="80"/>
      <c r="K48" s="80"/>
      <c r="L48" s="80"/>
      <c r="M48" s="80"/>
      <c r="N48" s="80"/>
    </row>
    <row r="49" spans="1:14" ht="12">
      <c r="A49" s="122" t="s">
        <v>544</v>
      </c>
      <c r="B49" s="122"/>
      <c r="C49" s="122"/>
      <c r="D49" s="122"/>
      <c r="E49" s="122"/>
      <c r="F49" s="122"/>
      <c r="G49" s="122"/>
      <c r="H49" s="122"/>
      <c r="I49" s="82">
        <v>76927</v>
      </c>
      <c r="J49" s="80"/>
      <c r="K49" s="80"/>
      <c r="L49" s="80"/>
      <c r="M49" s="80"/>
      <c r="N49" s="80"/>
    </row>
    <row r="50" spans="1:14" ht="12">
      <c r="A50" s="122" t="s">
        <v>545</v>
      </c>
      <c r="B50" s="122"/>
      <c r="C50" s="122"/>
      <c r="D50" s="122"/>
      <c r="E50" s="122"/>
      <c r="F50" s="122"/>
      <c r="G50" s="122"/>
      <c r="H50" s="122"/>
      <c r="I50" s="82">
        <v>46755</v>
      </c>
      <c r="J50" s="80"/>
      <c r="K50" s="80"/>
      <c r="L50" s="80"/>
      <c r="M50" s="80"/>
      <c r="N50" s="80"/>
    </row>
    <row r="51" spans="1:14" ht="24">
      <c r="A51" s="123" t="s">
        <v>546</v>
      </c>
      <c r="B51" s="123"/>
      <c r="C51" s="123"/>
      <c r="D51" s="123"/>
      <c r="E51" s="123"/>
      <c r="F51" s="123"/>
      <c r="G51" s="123"/>
      <c r="H51" s="123"/>
      <c r="I51" s="82">
        <v>262001</v>
      </c>
      <c r="J51" s="80"/>
      <c r="K51" s="80"/>
      <c r="L51" s="80"/>
      <c r="M51" s="80"/>
      <c r="N51" s="80" t="s">
        <v>525</v>
      </c>
    </row>
    <row r="52" spans="1:14" ht="17.25" customHeight="1">
      <c r="A52" s="123" t="s">
        <v>547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1:14" ht="120">
      <c r="A53" s="78">
        <v>13</v>
      </c>
      <c r="B53" s="79" t="s">
        <v>472</v>
      </c>
      <c r="C53" s="79" t="s">
        <v>548</v>
      </c>
      <c r="D53" s="78">
        <v>12.962</v>
      </c>
      <c r="E53" s="80" t="s">
        <v>549</v>
      </c>
      <c r="F53" s="80" t="s">
        <v>550</v>
      </c>
      <c r="G53" s="80">
        <v>2062.26</v>
      </c>
      <c r="H53" s="81" t="s">
        <v>476</v>
      </c>
      <c r="I53" s="82">
        <v>152760</v>
      </c>
      <c r="J53" s="80">
        <v>47983</v>
      </c>
      <c r="K53" s="80" t="s">
        <v>551</v>
      </c>
      <c r="L53" s="80" t="str">
        <f>IF(12.962*2062.26=0," ",TEXT(,ROUND((12.962*2062.26*3.69),2)))</f>
        <v>98637.44</v>
      </c>
      <c r="M53" s="80" t="s">
        <v>552</v>
      </c>
      <c r="N53" s="80" t="s">
        <v>553</v>
      </c>
    </row>
    <row r="54" spans="1:14" ht="60">
      <c r="A54" s="78">
        <v>14</v>
      </c>
      <c r="B54" s="79" t="s">
        <v>554</v>
      </c>
      <c r="C54" s="79" t="s">
        <v>555</v>
      </c>
      <c r="D54" s="78" t="s">
        <v>556</v>
      </c>
      <c r="E54" s="80" t="s">
        <v>557</v>
      </c>
      <c r="F54" s="80" t="s">
        <v>558</v>
      </c>
      <c r="G54" s="80">
        <v>2198.68</v>
      </c>
      <c r="H54" s="81" t="s">
        <v>559</v>
      </c>
      <c r="I54" s="82">
        <v>32487</v>
      </c>
      <c r="J54" s="80">
        <v>8008</v>
      </c>
      <c r="K54" s="80" t="s">
        <v>560</v>
      </c>
      <c r="L54" s="80" t="str">
        <f>IF(1.9714*2198.68=0," ",TEXT(,ROUND((1.9714*2198.68*5.47),2)))</f>
        <v>23709.59</v>
      </c>
      <c r="M54" s="80" t="s">
        <v>561</v>
      </c>
      <c r="N54" s="80" t="s">
        <v>562</v>
      </c>
    </row>
    <row r="55" spans="1:14" ht="72">
      <c r="A55" s="78">
        <v>15</v>
      </c>
      <c r="B55" s="79" t="s">
        <v>563</v>
      </c>
      <c r="C55" s="79" t="s">
        <v>564</v>
      </c>
      <c r="D55" s="78">
        <v>6.5636</v>
      </c>
      <c r="E55" s="80" t="s">
        <v>565</v>
      </c>
      <c r="F55" s="80" t="s">
        <v>566</v>
      </c>
      <c r="G55" s="80">
        <v>1570.73</v>
      </c>
      <c r="H55" s="81" t="s">
        <v>567</v>
      </c>
      <c r="I55" s="82">
        <v>73375</v>
      </c>
      <c r="J55" s="80">
        <v>17897</v>
      </c>
      <c r="K55" s="80" t="s">
        <v>568</v>
      </c>
      <c r="L55" s="80" t="str">
        <f>IF(6.5636*1570.73=0," ",TEXT(,ROUND((6.5636*1570.73*5.22),2)))</f>
        <v>53816.34</v>
      </c>
      <c r="M55" s="80" t="s">
        <v>569</v>
      </c>
      <c r="N55" s="80" t="s">
        <v>570</v>
      </c>
    </row>
    <row r="56" spans="1:14" ht="120">
      <c r="A56" s="78">
        <v>16</v>
      </c>
      <c r="B56" s="79" t="s">
        <v>571</v>
      </c>
      <c r="C56" s="79" t="s">
        <v>572</v>
      </c>
      <c r="D56" s="78">
        <v>5</v>
      </c>
      <c r="E56" s="80" t="s">
        <v>573</v>
      </c>
      <c r="F56" s="80" t="s">
        <v>574</v>
      </c>
      <c r="G56" s="80">
        <v>300.2</v>
      </c>
      <c r="H56" s="81" t="s">
        <v>575</v>
      </c>
      <c r="I56" s="82">
        <v>14794</v>
      </c>
      <c r="J56" s="80">
        <v>5226</v>
      </c>
      <c r="K56" s="80" t="s">
        <v>576</v>
      </c>
      <c r="L56" s="80" t="str">
        <f>IF(5*300.2=0," ",TEXT(,ROUND((5*300.2*5.44),2)))</f>
        <v>8165.44</v>
      </c>
      <c r="M56" s="80" t="s">
        <v>577</v>
      </c>
      <c r="N56" s="80" t="s">
        <v>578</v>
      </c>
    </row>
    <row r="57" spans="1:14" ht="60">
      <c r="A57" s="78">
        <v>17</v>
      </c>
      <c r="B57" s="79" t="s">
        <v>579</v>
      </c>
      <c r="C57" s="79" t="s">
        <v>580</v>
      </c>
      <c r="D57" s="78">
        <v>5</v>
      </c>
      <c r="E57" s="80">
        <v>13.42</v>
      </c>
      <c r="F57" s="80"/>
      <c r="G57" s="80">
        <v>13.42</v>
      </c>
      <c r="H57" s="81" t="s">
        <v>581</v>
      </c>
      <c r="I57" s="82">
        <v>130</v>
      </c>
      <c r="J57" s="80"/>
      <c r="K57" s="80"/>
      <c r="L57" s="80" t="str">
        <f>IF(5*13.42=0," ",TEXT(,ROUND((5*13.42*1.937),2)))</f>
        <v>129.97</v>
      </c>
      <c r="M57" s="80"/>
      <c r="N57" s="80"/>
    </row>
    <row r="58" spans="1:14" ht="60">
      <c r="A58" s="78">
        <v>18</v>
      </c>
      <c r="B58" s="79" t="s">
        <v>582</v>
      </c>
      <c r="C58" s="79" t="s">
        <v>583</v>
      </c>
      <c r="D58" s="78">
        <v>10</v>
      </c>
      <c r="E58" s="80">
        <v>3.74</v>
      </c>
      <c r="F58" s="80"/>
      <c r="G58" s="80">
        <v>3.74</v>
      </c>
      <c r="H58" s="81" t="s">
        <v>584</v>
      </c>
      <c r="I58" s="82">
        <v>86</v>
      </c>
      <c r="J58" s="80"/>
      <c r="K58" s="80"/>
      <c r="L58" s="80" t="str">
        <f>IF(10*3.74=0," ",TEXT(,ROUND((10*3.74*2.326),2)))</f>
        <v>86.99</v>
      </c>
      <c r="M58" s="80"/>
      <c r="N58" s="80"/>
    </row>
    <row r="59" spans="1:14" ht="72">
      <c r="A59" s="78">
        <v>19</v>
      </c>
      <c r="B59" s="79" t="s">
        <v>585</v>
      </c>
      <c r="C59" s="79" t="s">
        <v>586</v>
      </c>
      <c r="D59" s="78">
        <v>10.472</v>
      </c>
      <c r="E59" s="80" t="s">
        <v>587</v>
      </c>
      <c r="F59" s="80">
        <v>5.23</v>
      </c>
      <c r="G59" s="80">
        <v>883.33</v>
      </c>
      <c r="H59" s="81" t="s">
        <v>588</v>
      </c>
      <c r="I59" s="82">
        <v>51064</v>
      </c>
      <c r="J59" s="80">
        <v>6110</v>
      </c>
      <c r="K59" s="80">
        <v>554</v>
      </c>
      <c r="L59" s="80" t="str">
        <f>IF(10.472*883.33=0," ",TEXT(,ROUND((10.472*883.33*4.8),2)))</f>
        <v>44401.11</v>
      </c>
      <c r="M59" s="80">
        <v>4.52</v>
      </c>
      <c r="N59" s="80">
        <v>47.33</v>
      </c>
    </row>
    <row r="60" spans="1:14" ht="60">
      <c r="A60" s="78">
        <v>20</v>
      </c>
      <c r="B60" s="79" t="s">
        <v>589</v>
      </c>
      <c r="C60" s="79" t="s">
        <v>590</v>
      </c>
      <c r="D60" s="78">
        <v>-1204</v>
      </c>
      <c r="E60" s="80">
        <v>7.46</v>
      </c>
      <c r="F60" s="80"/>
      <c r="G60" s="80">
        <v>7.46</v>
      </c>
      <c r="H60" s="81" t="s">
        <v>591</v>
      </c>
      <c r="I60" s="82">
        <v>-43087</v>
      </c>
      <c r="J60" s="80"/>
      <c r="K60" s="80"/>
      <c r="L60" s="80" t="str">
        <f>IF(-1204*7.46=0," ",TEXT(,ROUND((-1204*7.46*4.797),2)))</f>
        <v>-43085.89</v>
      </c>
      <c r="M60" s="80"/>
      <c r="N60" s="80"/>
    </row>
    <row r="61" spans="1:14" ht="60">
      <c r="A61" s="78">
        <v>21</v>
      </c>
      <c r="B61" s="79" t="s">
        <v>592</v>
      </c>
      <c r="C61" s="79" t="s">
        <v>593</v>
      </c>
      <c r="D61" s="78">
        <v>1204</v>
      </c>
      <c r="E61" s="80">
        <v>3.75</v>
      </c>
      <c r="F61" s="80"/>
      <c r="G61" s="80">
        <v>3.75</v>
      </c>
      <c r="H61" s="81" t="s">
        <v>594</v>
      </c>
      <c r="I61" s="82">
        <v>22033</v>
      </c>
      <c r="J61" s="80"/>
      <c r="K61" s="80"/>
      <c r="L61" s="80" t="str">
        <f>IF(1204*3.75=0," ",TEXT(,ROUND((1204*3.75*4.88),2)))</f>
        <v>22033.2</v>
      </c>
      <c r="M61" s="80"/>
      <c r="N61" s="80"/>
    </row>
    <row r="62" spans="1:14" ht="132">
      <c r="A62" s="78">
        <v>22</v>
      </c>
      <c r="B62" s="79" t="s">
        <v>595</v>
      </c>
      <c r="C62" s="79" t="s">
        <v>596</v>
      </c>
      <c r="D62" s="78">
        <v>9.267</v>
      </c>
      <c r="E62" s="80" t="s">
        <v>597</v>
      </c>
      <c r="F62" s="80" t="s">
        <v>598</v>
      </c>
      <c r="G62" s="80">
        <v>9149.44</v>
      </c>
      <c r="H62" s="81" t="s">
        <v>599</v>
      </c>
      <c r="I62" s="82">
        <v>335462</v>
      </c>
      <c r="J62" s="80">
        <v>57052</v>
      </c>
      <c r="K62" s="80" t="s">
        <v>600</v>
      </c>
      <c r="L62" s="80" t="str">
        <f>IF(9.267*9149.44=0," ",TEXT(,ROUND((9.267*9149.44*3.12),2)))</f>
        <v>264538.12</v>
      </c>
      <c r="M62" s="80" t="s">
        <v>601</v>
      </c>
      <c r="N62" s="80" t="s">
        <v>602</v>
      </c>
    </row>
    <row r="63" spans="1:14" ht="60">
      <c r="A63" s="78">
        <v>23</v>
      </c>
      <c r="B63" s="79" t="s">
        <v>603</v>
      </c>
      <c r="C63" s="79" t="s">
        <v>604</v>
      </c>
      <c r="D63" s="78">
        <v>-1131</v>
      </c>
      <c r="E63" s="80">
        <v>70.5</v>
      </c>
      <c r="F63" s="80"/>
      <c r="G63" s="80">
        <v>70.5</v>
      </c>
      <c r="H63" s="81" t="s">
        <v>605</v>
      </c>
      <c r="I63" s="82">
        <v>-263767</v>
      </c>
      <c r="J63" s="80"/>
      <c r="K63" s="80"/>
      <c r="L63" s="80" t="str">
        <f>IF(-1131*70.5=0," ",TEXT(,ROUND((-1131*70.5*3.308),2)))</f>
        <v>-263765.03</v>
      </c>
      <c r="M63" s="80"/>
      <c r="N63" s="80"/>
    </row>
    <row r="64" spans="1:14" ht="72">
      <c r="A64" s="78">
        <v>24</v>
      </c>
      <c r="B64" s="79" t="s">
        <v>606</v>
      </c>
      <c r="C64" s="79" t="s">
        <v>607</v>
      </c>
      <c r="D64" s="78" t="s">
        <v>608</v>
      </c>
      <c r="E64" s="80">
        <v>10090.38</v>
      </c>
      <c r="F64" s="80"/>
      <c r="G64" s="80">
        <v>10090.38</v>
      </c>
      <c r="H64" s="81" t="s">
        <v>609</v>
      </c>
      <c r="I64" s="82">
        <v>260128</v>
      </c>
      <c r="J64" s="80"/>
      <c r="K64" s="80"/>
      <c r="L64" s="80" t="str">
        <f>IF(8.460771*10090.38=0," ",TEXT(,ROUND((8.460771*10090.38*3.047),2)))</f>
        <v>260129.69</v>
      </c>
      <c r="M64" s="80"/>
      <c r="N64" s="80"/>
    </row>
    <row r="65" spans="1:14" ht="120">
      <c r="A65" s="78">
        <v>25</v>
      </c>
      <c r="B65" s="79" t="s">
        <v>610</v>
      </c>
      <c r="C65" s="79" t="s">
        <v>611</v>
      </c>
      <c r="D65" s="78">
        <v>1.722</v>
      </c>
      <c r="E65" s="80" t="s">
        <v>612</v>
      </c>
      <c r="F65" s="80" t="s">
        <v>613</v>
      </c>
      <c r="G65" s="80">
        <v>17933.62</v>
      </c>
      <c r="H65" s="81" t="s">
        <v>614</v>
      </c>
      <c r="I65" s="82">
        <v>144428</v>
      </c>
      <c r="J65" s="80">
        <v>23027</v>
      </c>
      <c r="K65" s="80" t="s">
        <v>615</v>
      </c>
      <c r="L65" s="80" t="str">
        <f>IF(1.722*17933.62=0," ",TEXT(,ROUND((1.722*17933.62*3.71),2)))</f>
        <v>114571.08</v>
      </c>
      <c r="M65" s="80" t="s">
        <v>616</v>
      </c>
      <c r="N65" s="80" t="s">
        <v>617</v>
      </c>
    </row>
    <row r="66" spans="1:14" ht="180">
      <c r="A66" s="78">
        <v>26</v>
      </c>
      <c r="B66" s="79" t="s">
        <v>618</v>
      </c>
      <c r="C66" s="79" t="s">
        <v>619</v>
      </c>
      <c r="D66" s="78">
        <v>7.95</v>
      </c>
      <c r="E66" s="80" t="s">
        <v>620</v>
      </c>
      <c r="F66" s="80" t="s">
        <v>621</v>
      </c>
      <c r="G66" s="80">
        <v>1.84</v>
      </c>
      <c r="H66" s="81" t="s">
        <v>622</v>
      </c>
      <c r="I66" s="82">
        <v>30321</v>
      </c>
      <c r="J66" s="80">
        <v>18042</v>
      </c>
      <c r="K66" s="80" t="s">
        <v>623</v>
      </c>
      <c r="L66" s="80" t="str">
        <f>IF(7.95*1.84=0," ",TEXT(,ROUND((7.95*1.84*19.06),2)))</f>
        <v>278.81</v>
      </c>
      <c r="M66" s="80" t="s">
        <v>624</v>
      </c>
      <c r="N66" s="80" t="s">
        <v>625</v>
      </c>
    </row>
    <row r="67" spans="1:14" ht="36">
      <c r="A67" s="78">
        <v>27</v>
      </c>
      <c r="B67" s="79" t="s">
        <v>626</v>
      </c>
      <c r="C67" s="79" t="s">
        <v>627</v>
      </c>
      <c r="D67" s="78">
        <v>256</v>
      </c>
      <c r="E67" s="80">
        <v>15.16</v>
      </c>
      <c r="F67" s="80"/>
      <c r="G67" s="80">
        <v>15.16</v>
      </c>
      <c r="H67" s="81" t="s">
        <v>628</v>
      </c>
      <c r="I67" s="82">
        <v>41457</v>
      </c>
      <c r="J67" s="80"/>
      <c r="K67" s="80"/>
      <c r="L67" s="80" t="str">
        <f>IF(256*15.16=0," ",TEXT(,ROUND((256*15.16*10.682),2)))</f>
        <v>41456.41</v>
      </c>
      <c r="M67" s="80"/>
      <c r="N67" s="80"/>
    </row>
    <row r="68" spans="1:14" ht="132">
      <c r="A68" s="78">
        <v>28</v>
      </c>
      <c r="B68" s="79" t="s">
        <v>496</v>
      </c>
      <c r="C68" s="79" t="s">
        <v>629</v>
      </c>
      <c r="D68" s="78">
        <v>0.0256</v>
      </c>
      <c r="E68" s="80" t="s">
        <v>630</v>
      </c>
      <c r="F68" s="80" t="s">
        <v>631</v>
      </c>
      <c r="G68" s="80">
        <v>50060.29</v>
      </c>
      <c r="H68" s="81" t="s">
        <v>500</v>
      </c>
      <c r="I68" s="82">
        <v>11171</v>
      </c>
      <c r="J68" s="80">
        <v>482</v>
      </c>
      <c r="K68" s="80" t="s">
        <v>632</v>
      </c>
      <c r="L68" s="80" t="str">
        <f>IF(0.0256*50060.29=0," ",TEXT(,ROUND((0.0256*50060.29*8.06),2)))</f>
        <v>10329.24</v>
      </c>
      <c r="M68" s="80" t="s">
        <v>633</v>
      </c>
      <c r="N68" s="80" t="s">
        <v>634</v>
      </c>
    </row>
    <row r="69" spans="1:14" ht="60">
      <c r="A69" s="78">
        <v>29</v>
      </c>
      <c r="B69" s="79" t="s">
        <v>635</v>
      </c>
      <c r="C69" s="79" t="s">
        <v>636</v>
      </c>
      <c r="D69" s="78">
        <v>4</v>
      </c>
      <c r="E69" s="80">
        <v>94.68</v>
      </c>
      <c r="F69" s="80"/>
      <c r="G69" s="80">
        <v>94.68</v>
      </c>
      <c r="H69" s="81" t="s">
        <v>637</v>
      </c>
      <c r="I69" s="82">
        <v>1419</v>
      </c>
      <c r="J69" s="80"/>
      <c r="K69" s="80"/>
      <c r="L69" s="80" t="str">
        <f>IF(4*94.68=0," ",TEXT(,ROUND((4*94.68*3.745),2)))</f>
        <v>1418.31</v>
      </c>
      <c r="M69" s="80"/>
      <c r="N69" s="80"/>
    </row>
    <row r="70" spans="1:14" ht="17.25" customHeight="1">
      <c r="A70" s="124" t="s">
        <v>638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4" ht="60">
      <c r="A71" s="78">
        <v>30</v>
      </c>
      <c r="B71" s="79" t="s">
        <v>639</v>
      </c>
      <c r="C71" s="79" t="s">
        <v>640</v>
      </c>
      <c r="D71" s="78">
        <v>1.4</v>
      </c>
      <c r="E71" s="80" t="s">
        <v>641</v>
      </c>
      <c r="F71" s="80"/>
      <c r="G71" s="80">
        <v>8.02</v>
      </c>
      <c r="H71" s="81" t="s">
        <v>642</v>
      </c>
      <c r="I71" s="82">
        <v>11791</v>
      </c>
      <c r="J71" s="80">
        <v>11754</v>
      </c>
      <c r="K71" s="80"/>
      <c r="L71" s="80" t="str">
        <f>IF(1.4*8.02=0," ",TEXT(,ROUND((1.4*8.02*3.37),2)))</f>
        <v>37.84</v>
      </c>
      <c r="M71" s="80">
        <v>60.4</v>
      </c>
      <c r="N71" s="80">
        <v>84.56</v>
      </c>
    </row>
    <row r="72" spans="1:14" ht="60">
      <c r="A72" s="78">
        <v>31</v>
      </c>
      <c r="B72" s="79" t="s">
        <v>643</v>
      </c>
      <c r="C72" s="79" t="s">
        <v>644</v>
      </c>
      <c r="D72" s="78">
        <v>10</v>
      </c>
      <c r="E72" s="80">
        <v>67.8</v>
      </c>
      <c r="F72" s="80"/>
      <c r="G72" s="80">
        <v>67.8</v>
      </c>
      <c r="H72" s="81" t="s">
        <v>645</v>
      </c>
      <c r="I72" s="82">
        <v>2025</v>
      </c>
      <c r="J72" s="80"/>
      <c r="K72" s="80"/>
      <c r="L72" s="80" t="str">
        <f>IF(10*67.8=0," ",TEXT(,ROUND((10*67.8*2.986),2)))</f>
        <v>2024.51</v>
      </c>
      <c r="M72" s="80"/>
      <c r="N72" s="80"/>
    </row>
    <row r="73" spans="1:14" ht="60">
      <c r="A73" s="78">
        <v>32</v>
      </c>
      <c r="B73" s="79" t="s">
        <v>646</v>
      </c>
      <c r="C73" s="79" t="s">
        <v>647</v>
      </c>
      <c r="D73" s="78">
        <v>140</v>
      </c>
      <c r="E73" s="80">
        <v>56.5</v>
      </c>
      <c r="F73" s="80"/>
      <c r="G73" s="80">
        <v>56.5</v>
      </c>
      <c r="H73" s="81" t="s">
        <v>648</v>
      </c>
      <c r="I73" s="82">
        <v>21088</v>
      </c>
      <c r="J73" s="80"/>
      <c r="K73" s="80"/>
      <c r="L73" s="80" t="str">
        <f>IF(140*56.5=0," ",TEXT(,ROUND((140*56.5*2.666),2)))</f>
        <v>21088.06</v>
      </c>
      <c r="M73" s="80"/>
      <c r="N73" s="80"/>
    </row>
    <row r="74" spans="1:14" ht="60">
      <c r="A74" s="78">
        <v>33</v>
      </c>
      <c r="B74" s="79" t="s">
        <v>649</v>
      </c>
      <c r="C74" s="79" t="s">
        <v>650</v>
      </c>
      <c r="D74" s="78">
        <v>20</v>
      </c>
      <c r="E74" s="80">
        <v>66.86</v>
      </c>
      <c r="F74" s="80"/>
      <c r="G74" s="80">
        <v>66.86</v>
      </c>
      <c r="H74" s="81" t="s">
        <v>651</v>
      </c>
      <c r="I74" s="82">
        <v>3546</v>
      </c>
      <c r="J74" s="80"/>
      <c r="K74" s="80"/>
      <c r="L74" s="80" t="str">
        <f>IF(20*66.86=0," ",TEXT(,ROUND((20*66.86*2.652),2)))</f>
        <v>3546.25</v>
      </c>
      <c r="M74" s="80"/>
      <c r="N74" s="80"/>
    </row>
    <row r="75" spans="1:14" ht="60">
      <c r="A75" s="78">
        <v>34</v>
      </c>
      <c r="B75" s="79" t="s">
        <v>652</v>
      </c>
      <c r="C75" s="79" t="s">
        <v>653</v>
      </c>
      <c r="D75" s="78">
        <v>10</v>
      </c>
      <c r="E75" s="80">
        <v>35.9</v>
      </c>
      <c r="F75" s="80"/>
      <c r="G75" s="80">
        <v>35.9</v>
      </c>
      <c r="H75" s="81" t="s">
        <v>654</v>
      </c>
      <c r="I75" s="82">
        <v>1672</v>
      </c>
      <c r="J75" s="80"/>
      <c r="K75" s="80"/>
      <c r="L75" s="80" t="str">
        <f>IF(10*35.9=0," ",TEXT(,ROUND((10*35.9*4.658),2)))</f>
        <v>1672.22</v>
      </c>
      <c r="M75" s="80"/>
      <c r="N75" s="80"/>
    </row>
    <row r="76" spans="1:14" ht="180">
      <c r="A76" s="78">
        <v>35</v>
      </c>
      <c r="B76" s="79" t="s">
        <v>655</v>
      </c>
      <c r="C76" s="79" t="s">
        <v>656</v>
      </c>
      <c r="D76" s="78" t="s">
        <v>657</v>
      </c>
      <c r="E76" s="80" t="s">
        <v>658</v>
      </c>
      <c r="F76" s="80">
        <v>11.99</v>
      </c>
      <c r="G76" s="80">
        <v>4743.53</v>
      </c>
      <c r="H76" s="81" t="s">
        <v>659</v>
      </c>
      <c r="I76" s="82">
        <v>30564</v>
      </c>
      <c r="J76" s="80">
        <v>5966</v>
      </c>
      <c r="K76" s="80">
        <v>191</v>
      </c>
      <c r="L76" s="80" t="str">
        <f>IF(1.588*4743.53=0," ",TEXT(,ROUND((1.588*4743.53*3.24),2)))</f>
        <v>24406.03</v>
      </c>
      <c r="M76" s="80">
        <v>28.635</v>
      </c>
      <c r="N76" s="80">
        <v>45.47</v>
      </c>
    </row>
    <row r="77" spans="1:14" ht="120">
      <c r="A77" s="78">
        <v>36</v>
      </c>
      <c r="B77" s="79" t="s">
        <v>504</v>
      </c>
      <c r="C77" s="79" t="s">
        <v>660</v>
      </c>
      <c r="D77" s="78">
        <v>0.62</v>
      </c>
      <c r="E77" s="80" t="s">
        <v>661</v>
      </c>
      <c r="F77" s="80" t="s">
        <v>662</v>
      </c>
      <c r="G77" s="80">
        <v>3032.91</v>
      </c>
      <c r="H77" s="81" t="s">
        <v>509</v>
      </c>
      <c r="I77" s="82">
        <v>8747</v>
      </c>
      <c r="J77" s="80">
        <v>675</v>
      </c>
      <c r="K77" s="80" t="s">
        <v>663</v>
      </c>
      <c r="L77" s="80" t="str">
        <f>IF(0.62*3032.91=0," ",TEXT(,ROUND((0.62*3032.91*4.08),2)))</f>
        <v>7672.05</v>
      </c>
      <c r="M77" s="80" t="s">
        <v>664</v>
      </c>
      <c r="N77" s="80" t="s">
        <v>665</v>
      </c>
    </row>
    <row r="78" spans="1:14" ht="108">
      <c r="A78" s="78">
        <v>37</v>
      </c>
      <c r="B78" s="79" t="s">
        <v>666</v>
      </c>
      <c r="C78" s="79" t="s">
        <v>667</v>
      </c>
      <c r="D78" s="78">
        <v>-0.186</v>
      </c>
      <c r="E78" s="80">
        <v>10045</v>
      </c>
      <c r="F78" s="80"/>
      <c r="G78" s="80">
        <v>10045</v>
      </c>
      <c r="H78" s="81" t="s">
        <v>668</v>
      </c>
      <c r="I78" s="82">
        <v>-7633</v>
      </c>
      <c r="J78" s="80"/>
      <c r="K78" s="80"/>
      <c r="L78" s="80" t="str">
        <f>IF(-0.186*10045=0," ",TEXT(,ROUND((-0.186*10045*4.086),2)))</f>
        <v>-7634.16</v>
      </c>
      <c r="M78" s="80"/>
      <c r="N78" s="80"/>
    </row>
    <row r="79" spans="1:14" ht="96">
      <c r="A79" s="78">
        <v>38</v>
      </c>
      <c r="B79" s="79" t="s">
        <v>669</v>
      </c>
      <c r="C79" s="79" t="s">
        <v>670</v>
      </c>
      <c r="D79" s="78">
        <v>6.2</v>
      </c>
      <c r="E79" s="80">
        <v>77.25</v>
      </c>
      <c r="F79" s="80"/>
      <c r="G79" s="80">
        <v>77.25</v>
      </c>
      <c r="H79" s="81" t="s">
        <v>671</v>
      </c>
      <c r="I79" s="82">
        <v>986</v>
      </c>
      <c r="J79" s="80"/>
      <c r="K79" s="80"/>
      <c r="L79" s="80" t="str">
        <f>IF(6.2*77.25=0," ",TEXT(,ROUND((6.2*77.25*2.059),2)))</f>
        <v>986.16</v>
      </c>
      <c r="M79" s="80"/>
      <c r="N79" s="80"/>
    </row>
    <row r="80" spans="1:14" ht="60">
      <c r="A80" s="78">
        <v>39</v>
      </c>
      <c r="B80" s="79" t="s">
        <v>672</v>
      </c>
      <c r="C80" s="79" t="s">
        <v>673</v>
      </c>
      <c r="D80" s="78">
        <v>21</v>
      </c>
      <c r="E80" s="80">
        <v>2.3</v>
      </c>
      <c r="F80" s="80"/>
      <c r="G80" s="80">
        <v>2.3</v>
      </c>
      <c r="H80" s="81" t="s">
        <v>674</v>
      </c>
      <c r="I80" s="82">
        <v>109</v>
      </c>
      <c r="J80" s="80"/>
      <c r="K80" s="80"/>
      <c r="L80" s="80" t="str">
        <f>IF(21*2.3=0," ",TEXT(,ROUND((21*2.3*2.265),2)))</f>
        <v>109.4</v>
      </c>
      <c r="M80" s="80"/>
      <c r="N80" s="80"/>
    </row>
    <row r="81" spans="1:14" ht="120">
      <c r="A81" s="78">
        <v>40</v>
      </c>
      <c r="B81" s="79" t="s">
        <v>504</v>
      </c>
      <c r="C81" s="79" t="s">
        <v>660</v>
      </c>
      <c r="D81" s="78">
        <v>1.708</v>
      </c>
      <c r="E81" s="80" t="s">
        <v>661</v>
      </c>
      <c r="F81" s="80" t="s">
        <v>662</v>
      </c>
      <c r="G81" s="80">
        <v>3032.91</v>
      </c>
      <c r="H81" s="81" t="s">
        <v>509</v>
      </c>
      <c r="I81" s="82">
        <v>24107</v>
      </c>
      <c r="J81" s="80">
        <v>1865</v>
      </c>
      <c r="K81" s="80" t="s">
        <v>675</v>
      </c>
      <c r="L81" s="80" t="str">
        <f>IF(1.708*3032.91=0," ",TEXT(,ROUND((1.708*3032.91*4.08),2)))</f>
        <v>21135.26</v>
      </c>
      <c r="M81" s="80" t="s">
        <v>664</v>
      </c>
      <c r="N81" s="80" t="s">
        <v>676</v>
      </c>
    </row>
    <row r="82" spans="1:14" ht="48">
      <c r="A82" s="78">
        <v>41</v>
      </c>
      <c r="B82" s="79" t="s">
        <v>677</v>
      </c>
      <c r="C82" s="79" t="s">
        <v>678</v>
      </c>
      <c r="D82" s="78">
        <v>97.5</v>
      </c>
      <c r="E82" s="80">
        <v>27.31</v>
      </c>
      <c r="F82" s="80"/>
      <c r="G82" s="80">
        <v>27.31</v>
      </c>
      <c r="H82" s="81" t="s">
        <v>679</v>
      </c>
      <c r="I82" s="82">
        <v>13741</v>
      </c>
      <c r="J82" s="80"/>
      <c r="K82" s="80"/>
      <c r="L82" s="80" t="str">
        <f>IF(97.5*27.31=0," ",TEXT(,ROUND((97.5*27.31*5.16),2)))</f>
        <v>13739.66</v>
      </c>
      <c r="M82" s="80"/>
      <c r="N82" s="80"/>
    </row>
    <row r="83" spans="1:14" ht="36">
      <c r="A83" s="78">
        <v>42</v>
      </c>
      <c r="B83" s="79" t="s">
        <v>680</v>
      </c>
      <c r="C83" s="79" t="s">
        <v>681</v>
      </c>
      <c r="D83" s="78">
        <v>64</v>
      </c>
      <c r="E83" s="80">
        <v>27.8</v>
      </c>
      <c r="F83" s="80"/>
      <c r="G83" s="80">
        <v>27.8</v>
      </c>
      <c r="H83" s="81" t="s">
        <v>679</v>
      </c>
      <c r="I83" s="82">
        <v>9180</v>
      </c>
      <c r="J83" s="80"/>
      <c r="K83" s="80"/>
      <c r="L83" s="80" t="str">
        <f>IF(64*27.8=0," ",TEXT(,ROUND((64*27.8*5.16),2)))</f>
        <v>9180.67</v>
      </c>
      <c r="M83" s="80"/>
      <c r="N83" s="80"/>
    </row>
    <row r="84" spans="1:14" ht="36">
      <c r="A84" s="78">
        <v>43</v>
      </c>
      <c r="B84" s="79" t="s">
        <v>682</v>
      </c>
      <c r="C84" s="79" t="s">
        <v>683</v>
      </c>
      <c r="D84" s="78">
        <v>61</v>
      </c>
      <c r="E84" s="80">
        <v>27.8</v>
      </c>
      <c r="F84" s="80"/>
      <c r="G84" s="80">
        <v>27.8</v>
      </c>
      <c r="H84" s="81" t="s">
        <v>679</v>
      </c>
      <c r="I84" s="82">
        <v>8751</v>
      </c>
      <c r="J84" s="80"/>
      <c r="K84" s="80"/>
      <c r="L84" s="80" t="str">
        <f>IF(61*27.8=0," ",TEXT(,ROUND((61*27.8*5.16),2)))</f>
        <v>8750.33</v>
      </c>
      <c r="M84" s="80"/>
      <c r="N84" s="80"/>
    </row>
    <row r="85" spans="1:14" ht="156">
      <c r="A85" s="78">
        <v>44</v>
      </c>
      <c r="B85" s="79" t="s">
        <v>684</v>
      </c>
      <c r="C85" s="79" t="s">
        <v>685</v>
      </c>
      <c r="D85" s="78" t="s">
        <v>686</v>
      </c>
      <c r="E85" s="80" t="s">
        <v>687</v>
      </c>
      <c r="F85" s="80" t="s">
        <v>688</v>
      </c>
      <c r="G85" s="80">
        <v>562.56</v>
      </c>
      <c r="H85" s="81" t="s">
        <v>689</v>
      </c>
      <c r="I85" s="82">
        <v>3339</v>
      </c>
      <c r="J85" s="80">
        <v>1093</v>
      </c>
      <c r="K85" s="80">
        <v>133</v>
      </c>
      <c r="L85" s="80" t="str">
        <f>IF(0.85*562.56=0," ",TEXT(,ROUND((0.85*562.56*4.42),2)))</f>
        <v>2113.54</v>
      </c>
      <c r="M85" s="80" t="s">
        <v>690</v>
      </c>
      <c r="N85" s="80" t="s">
        <v>691</v>
      </c>
    </row>
    <row r="86" spans="1:14" ht="168">
      <c r="A86" s="78">
        <v>45</v>
      </c>
      <c r="B86" s="79" t="s">
        <v>655</v>
      </c>
      <c r="C86" s="79" t="s">
        <v>692</v>
      </c>
      <c r="D86" s="78" t="s">
        <v>693</v>
      </c>
      <c r="E86" s="80" t="s">
        <v>658</v>
      </c>
      <c r="F86" s="80">
        <v>11.99</v>
      </c>
      <c r="G86" s="80">
        <v>4743.53</v>
      </c>
      <c r="H86" s="81" t="s">
        <v>659</v>
      </c>
      <c r="I86" s="82">
        <v>4912</v>
      </c>
      <c r="J86" s="80">
        <v>965</v>
      </c>
      <c r="K86" s="80">
        <v>30</v>
      </c>
      <c r="L86" s="80" t="str">
        <f>IF(0.255*4743.53=0," ",TEXT(,ROUND((0.255*4743.53*3.24),2)))</f>
        <v>3919.1</v>
      </c>
      <c r="M86" s="80">
        <v>28.635</v>
      </c>
      <c r="N86" s="80">
        <v>7.3</v>
      </c>
    </row>
    <row r="87" spans="1:14" ht="132">
      <c r="A87" s="78">
        <v>46</v>
      </c>
      <c r="B87" s="79" t="s">
        <v>694</v>
      </c>
      <c r="C87" s="79" t="s">
        <v>695</v>
      </c>
      <c r="D87" s="78">
        <v>0.1004</v>
      </c>
      <c r="E87" s="80" t="s">
        <v>696</v>
      </c>
      <c r="F87" s="80" t="s">
        <v>697</v>
      </c>
      <c r="G87" s="80">
        <v>88.5</v>
      </c>
      <c r="H87" s="81" t="s">
        <v>698</v>
      </c>
      <c r="I87" s="82">
        <v>1502</v>
      </c>
      <c r="J87" s="80">
        <v>563</v>
      </c>
      <c r="K87" s="80" t="s">
        <v>699</v>
      </c>
      <c r="L87" s="80" t="str">
        <f>IF(0.1004*88.5=0," ",TEXT(,ROUND((0.1004*88.5*4.9),2)))</f>
        <v>43.54</v>
      </c>
      <c r="M87" s="80" t="s">
        <v>700</v>
      </c>
      <c r="N87" s="80" t="s">
        <v>701</v>
      </c>
    </row>
    <row r="88" spans="1:14" ht="96">
      <c r="A88" s="78">
        <v>47</v>
      </c>
      <c r="B88" s="79" t="s">
        <v>702</v>
      </c>
      <c r="C88" s="79" t="s">
        <v>703</v>
      </c>
      <c r="D88" s="78">
        <v>0.1004</v>
      </c>
      <c r="E88" s="80">
        <v>11255</v>
      </c>
      <c r="F88" s="80"/>
      <c r="G88" s="80">
        <v>11255</v>
      </c>
      <c r="H88" s="81" t="s">
        <v>704</v>
      </c>
      <c r="I88" s="82">
        <v>5022</v>
      </c>
      <c r="J88" s="80"/>
      <c r="K88" s="80"/>
      <c r="L88" s="80" t="str">
        <f>IF(0.1004*11255=0," ",TEXT(,ROUND((0.1004*11255*4.444),2)))</f>
        <v>5021.73</v>
      </c>
      <c r="M88" s="80"/>
      <c r="N88" s="80"/>
    </row>
    <row r="89" spans="1:14" ht="156">
      <c r="A89" s="78">
        <v>48</v>
      </c>
      <c r="B89" s="79" t="s">
        <v>684</v>
      </c>
      <c r="C89" s="79" t="s">
        <v>685</v>
      </c>
      <c r="D89" s="78">
        <v>0.063</v>
      </c>
      <c r="E89" s="80" t="s">
        <v>687</v>
      </c>
      <c r="F89" s="80" t="s">
        <v>688</v>
      </c>
      <c r="G89" s="80">
        <v>562.56</v>
      </c>
      <c r="H89" s="81" t="s">
        <v>689</v>
      </c>
      <c r="I89" s="82">
        <v>245</v>
      </c>
      <c r="J89" s="80">
        <v>80</v>
      </c>
      <c r="K89" s="80">
        <v>10</v>
      </c>
      <c r="L89" s="80" t="str">
        <f>IF(0.063*562.56=0," ",TEXT(,ROUND((0.063*562.56*4.42),2)))</f>
        <v>156.65</v>
      </c>
      <c r="M89" s="80" t="s">
        <v>690</v>
      </c>
      <c r="N89" s="80">
        <v>0.56</v>
      </c>
    </row>
    <row r="90" spans="1:14" ht="132">
      <c r="A90" s="78">
        <v>49</v>
      </c>
      <c r="B90" s="79" t="s">
        <v>0</v>
      </c>
      <c r="C90" s="79" t="s">
        <v>1</v>
      </c>
      <c r="D90" s="78">
        <v>16</v>
      </c>
      <c r="E90" s="80" t="s">
        <v>2</v>
      </c>
      <c r="F90" s="80" t="s">
        <v>3</v>
      </c>
      <c r="G90" s="80">
        <v>8.49</v>
      </c>
      <c r="H90" s="81" t="s">
        <v>4</v>
      </c>
      <c r="I90" s="82">
        <v>11419</v>
      </c>
      <c r="J90" s="80">
        <v>9568</v>
      </c>
      <c r="K90" s="80" t="s">
        <v>5</v>
      </c>
      <c r="L90" s="80" t="str">
        <f>IF(16*8.49=0," ",TEXT(,ROUND((16*8.49*5.87),2)))</f>
        <v>797.38</v>
      </c>
      <c r="M90" s="80" t="s">
        <v>6</v>
      </c>
      <c r="N90" s="80" t="s">
        <v>7</v>
      </c>
    </row>
    <row r="91" spans="1:14" ht="72">
      <c r="A91" s="78">
        <v>50</v>
      </c>
      <c r="B91" s="79" t="s">
        <v>8</v>
      </c>
      <c r="C91" s="79" t="s">
        <v>9</v>
      </c>
      <c r="D91" s="78">
        <v>16</v>
      </c>
      <c r="E91" s="80">
        <v>656.4</v>
      </c>
      <c r="F91" s="80"/>
      <c r="G91" s="80">
        <v>656.4</v>
      </c>
      <c r="H91" s="81" t="s">
        <v>10</v>
      </c>
      <c r="I91" s="82">
        <v>54579</v>
      </c>
      <c r="J91" s="80"/>
      <c r="K91" s="80"/>
      <c r="L91" s="80" t="str">
        <f>IF(16*656.4=0," ",TEXT(,ROUND((16*656.4*5.197),2)))</f>
        <v>54580.97</v>
      </c>
      <c r="M91" s="80"/>
      <c r="N91" s="80"/>
    </row>
    <row r="92" spans="1:14" ht="132">
      <c r="A92" s="78">
        <v>51</v>
      </c>
      <c r="B92" s="79" t="s">
        <v>11</v>
      </c>
      <c r="C92" s="79" t="s">
        <v>12</v>
      </c>
      <c r="D92" s="78">
        <v>0.17</v>
      </c>
      <c r="E92" s="80" t="s">
        <v>13</v>
      </c>
      <c r="F92" s="80">
        <v>43.8</v>
      </c>
      <c r="G92" s="80">
        <v>803.4</v>
      </c>
      <c r="H92" s="81" t="s">
        <v>14</v>
      </c>
      <c r="I92" s="82">
        <v>1060</v>
      </c>
      <c r="J92" s="80">
        <v>531</v>
      </c>
      <c r="K92" s="80">
        <v>69</v>
      </c>
      <c r="L92" s="80" t="str">
        <f>IF(0.17*803.4=0," ",TEXT(,ROUND((0.17*803.4*3.36),2)))</f>
        <v>458.9</v>
      </c>
      <c r="M92" s="80">
        <v>23.115</v>
      </c>
      <c r="N92" s="80">
        <v>3.93</v>
      </c>
    </row>
    <row r="93" spans="1:14" ht="17.25" customHeight="1">
      <c r="A93" s="124" t="s">
        <v>15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1:14" ht="120">
      <c r="A94" s="78">
        <v>52</v>
      </c>
      <c r="B94" s="79" t="s">
        <v>16</v>
      </c>
      <c r="C94" s="79" t="s">
        <v>17</v>
      </c>
      <c r="D94" s="78">
        <v>1</v>
      </c>
      <c r="E94" s="80" t="s">
        <v>18</v>
      </c>
      <c r="F94" s="80">
        <v>41.89</v>
      </c>
      <c r="G94" s="80">
        <v>2189</v>
      </c>
      <c r="H94" s="81" t="s">
        <v>14</v>
      </c>
      <c r="I94" s="82">
        <v>11255</v>
      </c>
      <c r="J94" s="80">
        <v>3489</v>
      </c>
      <c r="K94" s="80">
        <v>411</v>
      </c>
      <c r="L94" s="80" t="str">
        <f>IF(1*2189=0," ",TEXT(,ROUND((1*2189*3.36),2)))</f>
        <v>7355.04</v>
      </c>
      <c r="M94" s="80">
        <v>25.875</v>
      </c>
      <c r="N94" s="80">
        <v>25.88</v>
      </c>
    </row>
    <row r="95" spans="1:14" ht="156">
      <c r="A95" s="78">
        <v>53</v>
      </c>
      <c r="B95" s="79" t="s">
        <v>19</v>
      </c>
      <c r="C95" s="79" t="s">
        <v>20</v>
      </c>
      <c r="D95" s="78" t="s">
        <v>21</v>
      </c>
      <c r="E95" s="80" t="s">
        <v>22</v>
      </c>
      <c r="F95" s="80" t="s">
        <v>23</v>
      </c>
      <c r="G95" s="80">
        <v>105.45</v>
      </c>
      <c r="H95" s="81" t="s">
        <v>24</v>
      </c>
      <c r="I95" s="82">
        <v>5440</v>
      </c>
      <c r="J95" s="80">
        <v>4856</v>
      </c>
      <c r="K95" s="80" t="s">
        <v>25</v>
      </c>
      <c r="L95" s="80" t="str">
        <f>IF(1.984*105.45=0," ",TEXT(,ROUND((1.984*105.45*1.85),2)))</f>
        <v>387.04</v>
      </c>
      <c r="M95" s="80" t="s">
        <v>26</v>
      </c>
      <c r="N95" s="80" t="s">
        <v>27</v>
      </c>
    </row>
    <row r="96" spans="1:14" ht="48">
      <c r="A96" s="78">
        <v>54</v>
      </c>
      <c r="B96" s="79" t="s">
        <v>28</v>
      </c>
      <c r="C96" s="79" t="s">
        <v>29</v>
      </c>
      <c r="D96" s="78">
        <v>9.92</v>
      </c>
      <c r="E96" s="80">
        <v>740.38</v>
      </c>
      <c r="F96" s="80"/>
      <c r="G96" s="80">
        <v>740.38</v>
      </c>
      <c r="H96" s="81" t="s">
        <v>679</v>
      </c>
      <c r="I96" s="82">
        <v>37900</v>
      </c>
      <c r="J96" s="80"/>
      <c r="K96" s="80"/>
      <c r="L96" s="80" t="str">
        <f>IF(9.92*740.38=0," ",TEXT(,ROUND((9.92*740.38*5.16),2)))</f>
        <v>37897.98</v>
      </c>
      <c r="M96" s="80"/>
      <c r="N96" s="80"/>
    </row>
    <row r="97" spans="1:14" ht="144">
      <c r="A97" s="78">
        <v>55</v>
      </c>
      <c r="B97" s="79" t="s">
        <v>30</v>
      </c>
      <c r="C97" s="79" t="s">
        <v>31</v>
      </c>
      <c r="D97" s="78">
        <v>1.984</v>
      </c>
      <c r="E97" s="80" t="s">
        <v>32</v>
      </c>
      <c r="F97" s="80">
        <v>27.24</v>
      </c>
      <c r="G97" s="80">
        <v>1385.68</v>
      </c>
      <c r="H97" s="81" t="s">
        <v>33</v>
      </c>
      <c r="I97" s="82">
        <v>9652</v>
      </c>
      <c r="J97" s="80">
        <v>4599</v>
      </c>
      <c r="K97" s="80">
        <v>543</v>
      </c>
      <c r="L97" s="80" t="str">
        <f>IF(1.984*1385.68=0," ",TEXT(,ROUND((1.984*1385.68*1.64),2)))</f>
        <v>4508.67</v>
      </c>
      <c r="M97" s="80">
        <v>16.514</v>
      </c>
      <c r="N97" s="80">
        <v>32.76</v>
      </c>
    </row>
    <row r="98" spans="1:14" ht="60">
      <c r="A98" s="78">
        <v>56</v>
      </c>
      <c r="B98" s="79" t="s">
        <v>34</v>
      </c>
      <c r="C98" s="79" t="s">
        <v>35</v>
      </c>
      <c r="D98" s="78">
        <v>-228.2</v>
      </c>
      <c r="E98" s="80">
        <v>4.82</v>
      </c>
      <c r="F98" s="80"/>
      <c r="G98" s="80">
        <v>4.82</v>
      </c>
      <c r="H98" s="81" t="s">
        <v>36</v>
      </c>
      <c r="I98" s="82">
        <v>-1334</v>
      </c>
      <c r="J98" s="80"/>
      <c r="K98" s="80"/>
      <c r="L98" s="80" t="str">
        <f>IF(-228.2*4.82=0," ",TEXT(,ROUND((-228.2*4.82*1.213),2)))</f>
        <v>-1334.21</v>
      </c>
      <c r="M98" s="80"/>
      <c r="N98" s="80"/>
    </row>
    <row r="99" spans="1:14" ht="60">
      <c r="A99" s="78">
        <v>57</v>
      </c>
      <c r="B99" s="79" t="s">
        <v>37</v>
      </c>
      <c r="C99" s="79" t="s">
        <v>38</v>
      </c>
      <c r="D99" s="78">
        <v>228.2</v>
      </c>
      <c r="E99" s="80">
        <v>2.75</v>
      </c>
      <c r="F99" s="80"/>
      <c r="G99" s="80">
        <v>2.75</v>
      </c>
      <c r="H99" s="81" t="s">
        <v>39</v>
      </c>
      <c r="I99" s="82">
        <v>3105</v>
      </c>
      <c r="J99" s="80"/>
      <c r="K99" s="80"/>
      <c r="L99" s="80" t="str">
        <f>IF(228.2*2.75=0," ",TEXT(,ROUND((228.2*2.75*4.945),2)))</f>
        <v>3103.23</v>
      </c>
      <c r="M99" s="80"/>
      <c r="N99" s="80"/>
    </row>
    <row r="100" spans="1:14" ht="180">
      <c r="A100" s="78">
        <v>58</v>
      </c>
      <c r="B100" s="79" t="s">
        <v>40</v>
      </c>
      <c r="C100" s="79" t="s">
        <v>41</v>
      </c>
      <c r="D100" s="78">
        <v>2.1824</v>
      </c>
      <c r="E100" s="80" t="s">
        <v>42</v>
      </c>
      <c r="F100" s="80">
        <v>22.89</v>
      </c>
      <c r="G100" s="80">
        <v>6695.89</v>
      </c>
      <c r="H100" s="81" t="s">
        <v>43</v>
      </c>
      <c r="I100" s="82">
        <v>56914</v>
      </c>
      <c r="J100" s="80">
        <v>11111</v>
      </c>
      <c r="K100" s="80">
        <v>503</v>
      </c>
      <c r="L100" s="80" t="str">
        <f>IF(2.1824*6695.89=0," ",TEXT(,ROUND((2.1824*6695.89*3.1),2)))</f>
        <v>45300.64</v>
      </c>
      <c r="M100" s="80">
        <v>38.41</v>
      </c>
      <c r="N100" s="80">
        <v>83.83</v>
      </c>
    </row>
    <row r="101" spans="1:14" ht="60">
      <c r="A101" s="78">
        <v>59</v>
      </c>
      <c r="B101" s="79" t="s">
        <v>44</v>
      </c>
      <c r="C101" s="79" t="s">
        <v>45</v>
      </c>
      <c r="D101" s="78">
        <v>-0.3928</v>
      </c>
      <c r="E101" s="80">
        <v>9774.5</v>
      </c>
      <c r="F101" s="80"/>
      <c r="G101" s="80">
        <v>9774.5</v>
      </c>
      <c r="H101" s="81" t="s">
        <v>46</v>
      </c>
      <c r="I101" s="82">
        <v>-10292</v>
      </c>
      <c r="J101" s="80"/>
      <c r="K101" s="80"/>
      <c r="L101" s="80" t="str">
        <f>IF(-0.3928*9774.5=0," ",TEXT(,ROUND((-0.3928*9774.5*2.681),2)))</f>
        <v>-10293.49</v>
      </c>
      <c r="M101" s="80"/>
      <c r="N101" s="80"/>
    </row>
    <row r="102" spans="1:14" ht="17.25" customHeight="1">
      <c r="A102" s="124" t="s">
        <v>47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1:14" ht="72">
      <c r="A103" s="78">
        <v>60</v>
      </c>
      <c r="B103" s="79" t="s">
        <v>585</v>
      </c>
      <c r="C103" s="79" t="s">
        <v>586</v>
      </c>
      <c r="D103" s="78" t="s">
        <v>48</v>
      </c>
      <c r="E103" s="80" t="s">
        <v>587</v>
      </c>
      <c r="F103" s="80">
        <v>5.23</v>
      </c>
      <c r="G103" s="80">
        <v>883.33</v>
      </c>
      <c r="H103" s="81" t="s">
        <v>588</v>
      </c>
      <c r="I103" s="82">
        <v>80437</v>
      </c>
      <c r="J103" s="80">
        <v>9616</v>
      </c>
      <c r="K103" s="80">
        <v>866</v>
      </c>
      <c r="L103" s="80" t="str">
        <f>IF(16.498*883.33=0," ",TEXT(,ROUND((16.498*883.33*4.8),2)))</f>
        <v>69951.26</v>
      </c>
      <c r="M103" s="80">
        <v>4.52</v>
      </c>
      <c r="N103" s="80">
        <v>74.57</v>
      </c>
    </row>
    <row r="104" spans="1:14" ht="60">
      <c r="A104" s="78">
        <v>61</v>
      </c>
      <c r="B104" s="79" t="s">
        <v>589</v>
      </c>
      <c r="C104" s="79" t="s">
        <v>590</v>
      </c>
      <c r="D104" s="78">
        <v>-1897</v>
      </c>
      <c r="E104" s="80">
        <v>7.46</v>
      </c>
      <c r="F104" s="80"/>
      <c r="G104" s="80">
        <v>7.46</v>
      </c>
      <c r="H104" s="81" t="s">
        <v>591</v>
      </c>
      <c r="I104" s="82">
        <v>-67887</v>
      </c>
      <c r="J104" s="80"/>
      <c r="K104" s="80"/>
      <c r="L104" s="80" t="str">
        <f>IF(-1897*7.46=0," ",TEXT(,ROUND((-1897*7.46*4.797),2)))</f>
        <v>-67885.32</v>
      </c>
      <c r="M104" s="80"/>
      <c r="N104" s="80"/>
    </row>
    <row r="105" spans="1:14" ht="60">
      <c r="A105" s="78">
        <v>62</v>
      </c>
      <c r="B105" s="79" t="s">
        <v>49</v>
      </c>
      <c r="C105" s="79" t="s">
        <v>50</v>
      </c>
      <c r="D105" s="78" t="s">
        <v>51</v>
      </c>
      <c r="E105" s="80">
        <v>3.92</v>
      </c>
      <c r="F105" s="80"/>
      <c r="G105" s="80">
        <v>3.92</v>
      </c>
      <c r="H105" s="81" t="s">
        <v>52</v>
      </c>
      <c r="I105" s="82">
        <v>18416</v>
      </c>
      <c r="J105" s="80"/>
      <c r="K105" s="80"/>
      <c r="L105" s="80" t="str">
        <f>IF(948.635*3.92=0," ",TEXT(,ROUND((948.635*3.92*4.952),2)))</f>
        <v>18414.75</v>
      </c>
      <c r="M105" s="80"/>
      <c r="N105" s="80"/>
    </row>
    <row r="106" spans="1:14" ht="60">
      <c r="A106" s="78">
        <v>63</v>
      </c>
      <c r="B106" s="79" t="s">
        <v>37</v>
      </c>
      <c r="C106" s="79" t="s">
        <v>53</v>
      </c>
      <c r="D106" s="78" t="s">
        <v>51</v>
      </c>
      <c r="E106" s="80">
        <v>2.75</v>
      </c>
      <c r="F106" s="80"/>
      <c r="G106" s="80">
        <v>2.75</v>
      </c>
      <c r="H106" s="81" t="s">
        <v>39</v>
      </c>
      <c r="I106" s="82">
        <v>12902</v>
      </c>
      <c r="J106" s="80"/>
      <c r="K106" s="80"/>
      <c r="L106" s="80" t="str">
        <f>IF(948.635*2.75=0," ",TEXT(,ROUND((948.635*2.75*4.945),2)))</f>
        <v>12900.25</v>
      </c>
      <c r="M106" s="80"/>
      <c r="N106" s="80"/>
    </row>
    <row r="107" spans="1:14" ht="144">
      <c r="A107" s="78">
        <v>64</v>
      </c>
      <c r="B107" s="79" t="s">
        <v>54</v>
      </c>
      <c r="C107" s="79" t="s">
        <v>55</v>
      </c>
      <c r="D107" s="78">
        <v>8.249</v>
      </c>
      <c r="E107" s="80" t="s">
        <v>56</v>
      </c>
      <c r="F107" s="80" t="s">
        <v>57</v>
      </c>
      <c r="G107" s="80">
        <v>4146.24</v>
      </c>
      <c r="H107" s="81" t="s">
        <v>58</v>
      </c>
      <c r="I107" s="82">
        <v>306700</v>
      </c>
      <c r="J107" s="80">
        <v>66057</v>
      </c>
      <c r="K107" s="80" t="s">
        <v>59</v>
      </c>
      <c r="L107" s="80" t="str">
        <f>IF(8.249*4146.24=0," ",TEXT(,ROUND((8.249*4146.24*6.61),2)))</f>
        <v>226077.43</v>
      </c>
      <c r="M107" s="80" t="s">
        <v>60</v>
      </c>
      <c r="N107" s="80" t="s">
        <v>61</v>
      </c>
    </row>
    <row r="108" spans="1:14" ht="168">
      <c r="A108" s="78">
        <v>65</v>
      </c>
      <c r="B108" s="79" t="s">
        <v>62</v>
      </c>
      <c r="C108" s="79" t="s">
        <v>63</v>
      </c>
      <c r="D108" s="78">
        <v>8.249</v>
      </c>
      <c r="E108" s="80" t="s">
        <v>64</v>
      </c>
      <c r="F108" s="80" t="s">
        <v>65</v>
      </c>
      <c r="G108" s="80">
        <v>11870.37</v>
      </c>
      <c r="H108" s="81" t="s">
        <v>58</v>
      </c>
      <c r="I108" s="82">
        <v>842501</v>
      </c>
      <c r="J108" s="80">
        <v>153451</v>
      </c>
      <c r="K108" s="80" t="s">
        <v>66</v>
      </c>
      <c r="L108" s="80" t="str">
        <f>IF(8.249*11870.37=0," ",TEXT(,ROUND((8.249*11870.37*6.61),2)))</f>
        <v>647242.49</v>
      </c>
      <c r="M108" s="80" t="s">
        <v>67</v>
      </c>
      <c r="N108" s="80" t="s">
        <v>68</v>
      </c>
    </row>
    <row r="109" spans="1:14" ht="60">
      <c r="A109" s="78">
        <v>66</v>
      </c>
      <c r="B109" s="79" t="s">
        <v>69</v>
      </c>
      <c r="C109" s="79" t="s">
        <v>70</v>
      </c>
      <c r="D109" s="78">
        <v>-203.88</v>
      </c>
      <c r="E109" s="80">
        <v>530</v>
      </c>
      <c r="F109" s="80"/>
      <c r="G109" s="80">
        <v>530</v>
      </c>
      <c r="H109" s="81" t="s">
        <v>71</v>
      </c>
      <c r="I109" s="82">
        <v>-607167</v>
      </c>
      <c r="J109" s="80"/>
      <c r="K109" s="80"/>
      <c r="L109" s="80" t="str">
        <f>IF(-203.88*530=0," ",TEXT(,ROUND((-203.88*530*5.619),2)))</f>
        <v>-607168.91</v>
      </c>
      <c r="M109" s="80"/>
      <c r="N109" s="80"/>
    </row>
    <row r="110" spans="1:14" ht="48">
      <c r="A110" s="78">
        <v>67</v>
      </c>
      <c r="B110" s="79" t="s">
        <v>28</v>
      </c>
      <c r="C110" s="79" t="s">
        <v>72</v>
      </c>
      <c r="D110" s="78">
        <v>206.2</v>
      </c>
      <c r="E110" s="80">
        <v>740.38</v>
      </c>
      <c r="F110" s="80"/>
      <c r="G110" s="80">
        <v>740.38</v>
      </c>
      <c r="H110" s="81" t="s">
        <v>679</v>
      </c>
      <c r="I110" s="82">
        <v>787757</v>
      </c>
      <c r="J110" s="80"/>
      <c r="K110" s="80"/>
      <c r="L110" s="80" t="str">
        <f>IF(206.2*740.38=0," ",TEXT(,ROUND((206.2*740.38*5.16),2)))</f>
        <v>787758.4</v>
      </c>
      <c r="M110" s="80"/>
      <c r="N110" s="80"/>
    </row>
    <row r="111" spans="1:14" ht="72">
      <c r="A111" s="78">
        <v>68</v>
      </c>
      <c r="B111" s="79" t="s">
        <v>73</v>
      </c>
      <c r="C111" s="79" t="s">
        <v>74</v>
      </c>
      <c r="D111" s="78">
        <v>5.5</v>
      </c>
      <c r="E111" s="80" t="s">
        <v>75</v>
      </c>
      <c r="F111" s="80">
        <v>0.87</v>
      </c>
      <c r="G111" s="80">
        <v>25.17</v>
      </c>
      <c r="H111" s="81" t="s">
        <v>76</v>
      </c>
      <c r="I111" s="82">
        <v>45721</v>
      </c>
      <c r="J111" s="80">
        <v>44863</v>
      </c>
      <c r="K111" s="80">
        <v>50</v>
      </c>
      <c r="L111" s="80" t="str">
        <f>IF(5.5*25.17=0," ",TEXT(,ROUND((5.5*25.17*5.81),2)))</f>
        <v>804.31</v>
      </c>
      <c r="M111" s="80">
        <v>49.69</v>
      </c>
      <c r="N111" s="80">
        <v>273.3</v>
      </c>
    </row>
    <row r="112" spans="1:14" ht="17.25" customHeight="1">
      <c r="A112" s="124" t="s">
        <v>77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1:14" ht="156">
      <c r="A113" s="78">
        <v>69</v>
      </c>
      <c r="B113" s="79" t="s">
        <v>78</v>
      </c>
      <c r="C113" s="79" t="s">
        <v>79</v>
      </c>
      <c r="D113" s="78">
        <v>3.84</v>
      </c>
      <c r="E113" s="80" t="s">
        <v>80</v>
      </c>
      <c r="F113" s="80">
        <v>71.44</v>
      </c>
      <c r="G113" s="80">
        <v>1320.96</v>
      </c>
      <c r="H113" s="81" t="s">
        <v>81</v>
      </c>
      <c r="I113" s="82">
        <v>31473</v>
      </c>
      <c r="J113" s="80">
        <v>13057</v>
      </c>
      <c r="K113" s="80">
        <v>2740</v>
      </c>
      <c r="L113" s="80" t="str">
        <f>IF(3.84*1320.96=0," ",TEXT(,ROUND((3.84*1320.96*3.09),2)))</f>
        <v>15673.98</v>
      </c>
      <c r="M113" s="80">
        <v>21.6775</v>
      </c>
      <c r="N113" s="80">
        <v>83.24</v>
      </c>
    </row>
    <row r="114" spans="1:14" ht="60">
      <c r="A114" s="78">
        <v>70</v>
      </c>
      <c r="B114" s="79" t="s">
        <v>82</v>
      </c>
      <c r="C114" s="79" t="s">
        <v>83</v>
      </c>
      <c r="D114" s="78">
        <v>-5.914</v>
      </c>
      <c r="E114" s="80">
        <v>542.4</v>
      </c>
      <c r="F114" s="80"/>
      <c r="G114" s="80">
        <v>542.4</v>
      </c>
      <c r="H114" s="81" t="s">
        <v>84</v>
      </c>
      <c r="I114" s="82">
        <v>-9993</v>
      </c>
      <c r="J114" s="80"/>
      <c r="K114" s="80"/>
      <c r="L114" s="80" t="str">
        <f>IF(-5.914*542.4=0," ",TEXT(,ROUND((-5.914*542.4*3.115),2)))</f>
        <v>-9992.15</v>
      </c>
      <c r="M114" s="80"/>
      <c r="N114" s="80"/>
    </row>
    <row r="115" spans="1:14" ht="60">
      <c r="A115" s="78">
        <v>71</v>
      </c>
      <c r="B115" s="79" t="s">
        <v>85</v>
      </c>
      <c r="C115" s="79" t="s">
        <v>86</v>
      </c>
      <c r="D115" s="78">
        <v>5.914</v>
      </c>
      <c r="E115" s="80">
        <v>520.94</v>
      </c>
      <c r="F115" s="80"/>
      <c r="G115" s="80">
        <v>520.94</v>
      </c>
      <c r="H115" s="81" t="s">
        <v>87</v>
      </c>
      <c r="I115" s="82">
        <v>7610</v>
      </c>
      <c r="J115" s="80"/>
      <c r="K115" s="80"/>
      <c r="L115" s="80" t="str">
        <f>IF(5.914*520.94=0," ",TEXT(,ROUND((5.914*520.94*2.47),2)))</f>
        <v>7609.67</v>
      </c>
      <c r="M115" s="80"/>
      <c r="N115" s="80"/>
    </row>
    <row r="116" spans="1:14" ht="144">
      <c r="A116" s="78">
        <v>72</v>
      </c>
      <c r="B116" s="79" t="s">
        <v>30</v>
      </c>
      <c r="C116" s="79" t="s">
        <v>31</v>
      </c>
      <c r="D116" s="78" t="s">
        <v>88</v>
      </c>
      <c r="E116" s="80" t="s">
        <v>32</v>
      </c>
      <c r="F116" s="80">
        <v>27.24</v>
      </c>
      <c r="G116" s="80">
        <v>1385.68</v>
      </c>
      <c r="H116" s="81" t="s">
        <v>33</v>
      </c>
      <c r="I116" s="82">
        <v>1104</v>
      </c>
      <c r="J116" s="80">
        <v>531</v>
      </c>
      <c r="K116" s="80">
        <v>60</v>
      </c>
      <c r="L116" s="80" t="str">
        <f>IF(0.2261*1385.68=0," ",TEXT(,ROUND((0.2261*1385.68*1.64),2)))</f>
        <v>513.82</v>
      </c>
      <c r="M116" s="80">
        <v>16.514</v>
      </c>
      <c r="N116" s="80">
        <v>3.73</v>
      </c>
    </row>
    <row r="117" spans="1:14" ht="60">
      <c r="A117" s="78">
        <v>73</v>
      </c>
      <c r="B117" s="79" t="s">
        <v>34</v>
      </c>
      <c r="C117" s="79" t="s">
        <v>35</v>
      </c>
      <c r="D117" s="78">
        <v>-26</v>
      </c>
      <c r="E117" s="80">
        <v>4.82</v>
      </c>
      <c r="F117" s="80"/>
      <c r="G117" s="80">
        <v>4.82</v>
      </c>
      <c r="H117" s="81" t="s">
        <v>36</v>
      </c>
      <c r="I117" s="82">
        <v>-152</v>
      </c>
      <c r="J117" s="80"/>
      <c r="K117" s="80"/>
      <c r="L117" s="80" t="str">
        <f>IF(-26*4.82=0," ",TEXT(,ROUND((-26*4.82*1.213),2)))</f>
        <v>-152.01</v>
      </c>
      <c r="M117" s="80"/>
      <c r="N117" s="80"/>
    </row>
    <row r="118" spans="1:14" ht="60">
      <c r="A118" s="78">
        <v>74</v>
      </c>
      <c r="B118" s="79" t="s">
        <v>37</v>
      </c>
      <c r="C118" s="79" t="s">
        <v>53</v>
      </c>
      <c r="D118" s="78">
        <v>26</v>
      </c>
      <c r="E118" s="80">
        <v>2.75</v>
      </c>
      <c r="F118" s="80"/>
      <c r="G118" s="80">
        <v>2.75</v>
      </c>
      <c r="H118" s="81" t="s">
        <v>39</v>
      </c>
      <c r="I118" s="82">
        <v>356</v>
      </c>
      <c r="J118" s="80"/>
      <c r="K118" s="80"/>
      <c r="L118" s="80" t="str">
        <f>IF(26*2.75=0," ",TEXT(,ROUND((26*2.75*4.945),2)))</f>
        <v>353.57</v>
      </c>
      <c r="M118" s="80"/>
      <c r="N118" s="80"/>
    </row>
    <row r="119" spans="1:14" ht="144">
      <c r="A119" s="78">
        <v>75</v>
      </c>
      <c r="B119" s="79" t="s">
        <v>89</v>
      </c>
      <c r="C119" s="79" t="s">
        <v>90</v>
      </c>
      <c r="D119" s="78" t="s">
        <v>91</v>
      </c>
      <c r="E119" s="80" t="s">
        <v>92</v>
      </c>
      <c r="F119" s="80">
        <v>1211.33</v>
      </c>
      <c r="G119" s="80">
        <v>12722.28</v>
      </c>
      <c r="H119" s="81" t="s">
        <v>93</v>
      </c>
      <c r="I119" s="82">
        <v>11524</v>
      </c>
      <c r="J119" s="80">
        <v>3538</v>
      </c>
      <c r="K119" s="80">
        <v>1186</v>
      </c>
      <c r="L119" s="80" t="str">
        <f>IF(0.132*12722.28=0," ",TEXT(,ROUND((0.132*12722.28*4.05),2)))</f>
        <v>6801.33</v>
      </c>
      <c r="M119" s="80">
        <v>170.798</v>
      </c>
      <c r="N119" s="80">
        <v>22.55</v>
      </c>
    </row>
    <row r="120" spans="1:14" ht="17.25" customHeight="1">
      <c r="A120" s="124" t="s">
        <v>94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</row>
    <row r="121" spans="1:14" ht="60">
      <c r="A121" s="78">
        <v>76</v>
      </c>
      <c r="B121" s="79" t="s">
        <v>95</v>
      </c>
      <c r="C121" s="79" t="s">
        <v>96</v>
      </c>
      <c r="D121" s="78">
        <v>1.936</v>
      </c>
      <c r="E121" s="80" t="s">
        <v>97</v>
      </c>
      <c r="F121" s="80" t="s">
        <v>98</v>
      </c>
      <c r="G121" s="80">
        <v>105.21</v>
      </c>
      <c r="H121" s="81" t="s">
        <v>99</v>
      </c>
      <c r="I121" s="82">
        <v>7934</v>
      </c>
      <c r="J121" s="80">
        <v>6239</v>
      </c>
      <c r="K121" s="80" t="s">
        <v>100</v>
      </c>
      <c r="L121" s="80" t="str">
        <f>IF(1.936*105.21=0," ",TEXT(,ROUND((1.936*105.21*3.17),2)))</f>
        <v>645.69</v>
      </c>
      <c r="M121" s="80" t="s">
        <v>101</v>
      </c>
      <c r="N121" s="80" t="s">
        <v>102</v>
      </c>
    </row>
    <row r="122" spans="1:14" ht="60">
      <c r="A122" s="78">
        <v>77</v>
      </c>
      <c r="B122" s="79" t="s">
        <v>103</v>
      </c>
      <c r="C122" s="79" t="s">
        <v>104</v>
      </c>
      <c r="D122" s="78">
        <v>0.04803</v>
      </c>
      <c r="E122" s="80">
        <v>5230.01</v>
      </c>
      <c r="F122" s="80"/>
      <c r="G122" s="80">
        <v>5230.01</v>
      </c>
      <c r="H122" s="81" t="s">
        <v>105</v>
      </c>
      <c r="I122" s="82">
        <v>1188</v>
      </c>
      <c r="J122" s="80"/>
      <c r="K122" s="80"/>
      <c r="L122" s="80" t="str">
        <f>IF(0.04803*5230.01=0," ",TEXT(,ROUND((0.04803*5230.01*4.732),2)))</f>
        <v>1188.67</v>
      </c>
      <c r="M122" s="80"/>
      <c r="N122" s="80"/>
    </row>
    <row r="123" spans="1:14" ht="60">
      <c r="A123" s="78">
        <v>78</v>
      </c>
      <c r="B123" s="79" t="s">
        <v>106</v>
      </c>
      <c r="C123" s="79" t="s">
        <v>107</v>
      </c>
      <c r="D123" s="78">
        <v>0.11376</v>
      </c>
      <c r="E123" s="80">
        <v>5230.01</v>
      </c>
      <c r="F123" s="80"/>
      <c r="G123" s="80">
        <v>5230.01</v>
      </c>
      <c r="H123" s="81" t="s">
        <v>108</v>
      </c>
      <c r="I123" s="82">
        <v>2776</v>
      </c>
      <c r="J123" s="80"/>
      <c r="K123" s="80"/>
      <c r="L123" s="80" t="str">
        <f>IF(0.11376*5230.01=0," ",TEXT(,ROUND((0.11376*5230.01*4.666),2)))</f>
        <v>2776.11</v>
      </c>
      <c r="M123" s="80"/>
      <c r="N123" s="80"/>
    </row>
    <row r="124" spans="1:14" ht="60">
      <c r="A124" s="78">
        <v>79</v>
      </c>
      <c r="B124" s="79" t="s">
        <v>109</v>
      </c>
      <c r="C124" s="79" t="s">
        <v>110</v>
      </c>
      <c r="D124" s="78">
        <v>0.36</v>
      </c>
      <c r="E124" s="80" t="s">
        <v>111</v>
      </c>
      <c r="F124" s="80" t="s">
        <v>112</v>
      </c>
      <c r="G124" s="80">
        <v>41.59</v>
      </c>
      <c r="H124" s="81" t="s">
        <v>113</v>
      </c>
      <c r="I124" s="82">
        <v>1165</v>
      </c>
      <c r="J124" s="80">
        <v>900</v>
      </c>
      <c r="K124" s="80" t="s">
        <v>114</v>
      </c>
      <c r="L124" s="80" t="str">
        <f>IF(0.36*41.59=0," ",TEXT(,ROUND((0.36*41.59*3.55),2)))</f>
        <v>53.15</v>
      </c>
      <c r="M124" s="80" t="s">
        <v>115</v>
      </c>
      <c r="N124" s="80" t="s">
        <v>116</v>
      </c>
    </row>
    <row r="125" spans="1:14" ht="60">
      <c r="A125" s="78">
        <v>80</v>
      </c>
      <c r="B125" s="79" t="s">
        <v>117</v>
      </c>
      <c r="C125" s="79" t="s">
        <v>118</v>
      </c>
      <c r="D125" s="78">
        <v>0.045216</v>
      </c>
      <c r="E125" s="80">
        <v>6100</v>
      </c>
      <c r="F125" s="80"/>
      <c r="G125" s="80">
        <v>6100</v>
      </c>
      <c r="H125" s="81" t="s">
        <v>119</v>
      </c>
      <c r="I125" s="82">
        <v>1118</v>
      </c>
      <c r="J125" s="80"/>
      <c r="K125" s="80"/>
      <c r="L125" s="80" t="str">
        <f>IF(0.045216*6100=0," ",TEXT(,ROUND((0.045216*6100*4.05),2)))</f>
        <v>1117.06</v>
      </c>
      <c r="M125" s="80"/>
      <c r="N125" s="80"/>
    </row>
    <row r="126" spans="1:14" ht="24">
      <c r="A126" s="122" t="s">
        <v>523</v>
      </c>
      <c r="B126" s="122"/>
      <c r="C126" s="122"/>
      <c r="D126" s="122"/>
      <c r="E126" s="122"/>
      <c r="F126" s="122"/>
      <c r="G126" s="122"/>
      <c r="H126" s="122"/>
      <c r="I126" s="82">
        <v>476916</v>
      </c>
      <c r="J126" s="80">
        <v>33532</v>
      </c>
      <c r="K126" s="80" t="s">
        <v>120</v>
      </c>
      <c r="L126" s="80">
        <v>432588</v>
      </c>
      <c r="M126" s="80"/>
      <c r="N126" s="80" t="s">
        <v>121</v>
      </c>
    </row>
    <row r="127" spans="1:14" ht="24">
      <c r="A127" s="122" t="s">
        <v>526</v>
      </c>
      <c r="B127" s="122"/>
      <c r="C127" s="122"/>
      <c r="D127" s="122"/>
      <c r="E127" s="122"/>
      <c r="F127" s="122"/>
      <c r="G127" s="122"/>
      <c r="H127" s="122"/>
      <c r="I127" s="82">
        <v>2663139</v>
      </c>
      <c r="J127" s="80">
        <v>539195</v>
      </c>
      <c r="K127" s="80" t="s">
        <v>122</v>
      </c>
      <c r="L127" s="80">
        <v>2012280</v>
      </c>
      <c r="M127" s="80"/>
      <c r="N127" s="80" t="s">
        <v>121</v>
      </c>
    </row>
    <row r="128" spans="1:14" ht="12">
      <c r="A128" s="122" t="s">
        <v>528</v>
      </c>
      <c r="B128" s="122"/>
      <c r="C128" s="122"/>
      <c r="D128" s="122"/>
      <c r="E128" s="122"/>
      <c r="F128" s="122"/>
      <c r="G128" s="122"/>
      <c r="H128" s="122"/>
      <c r="I128" s="82">
        <v>476516</v>
      </c>
      <c r="J128" s="80"/>
      <c r="K128" s="80"/>
      <c r="L128" s="80"/>
      <c r="M128" s="80"/>
      <c r="N128" s="80"/>
    </row>
    <row r="129" spans="1:14" ht="12">
      <c r="A129" s="122" t="s">
        <v>529</v>
      </c>
      <c r="B129" s="122"/>
      <c r="C129" s="122"/>
      <c r="D129" s="122"/>
      <c r="E129" s="122"/>
      <c r="F129" s="122"/>
      <c r="G129" s="122"/>
      <c r="H129" s="122"/>
      <c r="I129" s="82">
        <v>254286</v>
      </c>
      <c r="J129" s="80"/>
      <c r="K129" s="80"/>
      <c r="L129" s="80"/>
      <c r="M129" s="80"/>
      <c r="N129" s="80"/>
    </row>
    <row r="130" spans="1:14" ht="12">
      <c r="A130" s="123" t="s">
        <v>123</v>
      </c>
      <c r="B130" s="123"/>
      <c r="C130" s="123"/>
      <c r="D130" s="123"/>
      <c r="E130" s="123"/>
      <c r="F130" s="123"/>
      <c r="G130" s="123"/>
      <c r="H130" s="123"/>
      <c r="I130" s="82"/>
      <c r="J130" s="80"/>
      <c r="K130" s="80"/>
      <c r="L130" s="80"/>
      <c r="M130" s="80"/>
      <c r="N130" s="80"/>
    </row>
    <row r="131" spans="1:14" ht="24">
      <c r="A131" s="122" t="s">
        <v>124</v>
      </c>
      <c r="B131" s="122"/>
      <c r="C131" s="122"/>
      <c r="D131" s="122"/>
      <c r="E131" s="122"/>
      <c r="F131" s="122"/>
      <c r="G131" s="122"/>
      <c r="H131" s="122"/>
      <c r="I131" s="82">
        <v>3374102</v>
      </c>
      <c r="J131" s="80"/>
      <c r="K131" s="80"/>
      <c r="L131" s="80"/>
      <c r="M131" s="80"/>
      <c r="N131" s="80" t="s">
        <v>125</v>
      </c>
    </row>
    <row r="132" spans="1:14" ht="24">
      <c r="A132" s="122" t="s">
        <v>126</v>
      </c>
      <c r="B132" s="122"/>
      <c r="C132" s="122"/>
      <c r="D132" s="122"/>
      <c r="E132" s="122"/>
      <c r="F132" s="122"/>
      <c r="G132" s="122"/>
      <c r="H132" s="122"/>
      <c r="I132" s="82">
        <v>19839</v>
      </c>
      <c r="J132" s="80"/>
      <c r="K132" s="80"/>
      <c r="L132" s="80"/>
      <c r="M132" s="80"/>
      <c r="N132" s="80" t="s">
        <v>127</v>
      </c>
    </row>
    <row r="133" spans="1:14" ht="24">
      <c r="A133" s="122" t="s">
        <v>540</v>
      </c>
      <c r="B133" s="122"/>
      <c r="C133" s="122"/>
      <c r="D133" s="122"/>
      <c r="E133" s="122"/>
      <c r="F133" s="122"/>
      <c r="G133" s="122"/>
      <c r="H133" s="122"/>
      <c r="I133" s="82">
        <v>3393941</v>
      </c>
      <c r="J133" s="80"/>
      <c r="K133" s="80"/>
      <c r="L133" s="80"/>
      <c r="M133" s="80"/>
      <c r="N133" s="80" t="s">
        <v>121</v>
      </c>
    </row>
    <row r="134" spans="1:14" ht="12">
      <c r="A134" s="122" t="s">
        <v>541</v>
      </c>
      <c r="B134" s="122"/>
      <c r="C134" s="122"/>
      <c r="D134" s="122"/>
      <c r="E134" s="122"/>
      <c r="F134" s="122"/>
      <c r="G134" s="122"/>
      <c r="H134" s="122"/>
      <c r="I134" s="82"/>
      <c r="J134" s="80"/>
      <c r="K134" s="80"/>
      <c r="L134" s="80"/>
      <c r="M134" s="80"/>
      <c r="N134" s="80"/>
    </row>
    <row r="135" spans="1:14" ht="12">
      <c r="A135" s="122" t="s">
        <v>128</v>
      </c>
      <c r="B135" s="122"/>
      <c r="C135" s="122"/>
      <c r="D135" s="122"/>
      <c r="E135" s="122"/>
      <c r="F135" s="122"/>
      <c r="G135" s="122"/>
      <c r="H135" s="122"/>
      <c r="I135" s="82">
        <v>2012280</v>
      </c>
      <c r="J135" s="80"/>
      <c r="K135" s="80"/>
      <c r="L135" s="80"/>
      <c r="M135" s="80"/>
      <c r="N135" s="80"/>
    </row>
    <row r="136" spans="1:14" ht="12">
      <c r="A136" s="122" t="s">
        <v>542</v>
      </c>
      <c r="B136" s="122"/>
      <c r="C136" s="122"/>
      <c r="D136" s="122"/>
      <c r="E136" s="122"/>
      <c r="F136" s="122"/>
      <c r="G136" s="122"/>
      <c r="H136" s="122"/>
      <c r="I136" s="82">
        <v>111664</v>
      </c>
      <c r="J136" s="80"/>
      <c r="K136" s="80"/>
      <c r="L136" s="80"/>
      <c r="M136" s="80"/>
      <c r="N136" s="80"/>
    </row>
    <row r="137" spans="1:14" ht="12">
      <c r="A137" s="122" t="s">
        <v>543</v>
      </c>
      <c r="B137" s="122"/>
      <c r="C137" s="122"/>
      <c r="D137" s="122"/>
      <c r="E137" s="122"/>
      <c r="F137" s="122"/>
      <c r="G137" s="122"/>
      <c r="H137" s="122"/>
      <c r="I137" s="82">
        <v>549244</v>
      </c>
      <c r="J137" s="80"/>
      <c r="K137" s="80"/>
      <c r="L137" s="80"/>
      <c r="M137" s="80"/>
      <c r="N137" s="80"/>
    </row>
    <row r="138" spans="1:14" ht="12">
      <c r="A138" s="122" t="s">
        <v>544</v>
      </c>
      <c r="B138" s="122"/>
      <c r="C138" s="122"/>
      <c r="D138" s="122"/>
      <c r="E138" s="122"/>
      <c r="F138" s="122"/>
      <c r="G138" s="122"/>
      <c r="H138" s="122"/>
      <c r="I138" s="82">
        <v>476516</v>
      </c>
      <c r="J138" s="80"/>
      <c r="K138" s="80"/>
      <c r="L138" s="80"/>
      <c r="M138" s="80"/>
      <c r="N138" s="80"/>
    </row>
    <row r="139" spans="1:14" ht="12">
      <c r="A139" s="122" t="s">
        <v>545</v>
      </c>
      <c r="B139" s="122"/>
      <c r="C139" s="122"/>
      <c r="D139" s="122"/>
      <c r="E139" s="122"/>
      <c r="F139" s="122"/>
      <c r="G139" s="122"/>
      <c r="H139" s="122"/>
      <c r="I139" s="82">
        <v>254286</v>
      </c>
      <c r="J139" s="80"/>
      <c r="K139" s="80"/>
      <c r="L139" s="80"/>
      <c r="M139" s="80"/>
      <c r="N139" s="80"/>
    </row>
    <row r="140" spans="1:14" ht="24">
      <c r="A140" s="123" t="s">
        <v>129</v>
      </c>
      <c r="B140" s="123"/>
      <c r="C140" s="123"/>
      <c r="D140" s="123"/>
      <c r="E140" s="123"/>
      <c r="F140" s="123"/>
      <c r="G140" s="123"/>
      <c r="H140" s="123"/>
      <c r="I140" s="82">
        <v>3393941</v>
      </c>
      <c r="J140" s="80"/>
      <c r="K140" s="80"/>
      <c r="L140" s="80"/>
      <c r="M140" s="80"/>
      <c r="N140" s="80" t="s">
        <v>121</v>
      </c>
    </row>
    <row r="141" spans="1:14" ht="24">
      <c r="A141" s="125" t="s">
        <v>130</v>
      </c>
      <c r="B141" s="122"/>
      <c r="C141" s="122"/>
      <c r="D141" s="122"/>
      <c r="E141" s="122"/>
      <c r="F141" s="122"/>
      <c r="G141" s="122"/>
      <c r="H141" s="122"/>
      <c r="I141" s="83">
        <v>487613</v>
      </c>
      <c r="J141" s="83">
        <v>39810</v>
      </c>
      <c r="K141" s="83" t="s">
        <v>131</v>
      </c>
      <c r="L141" s="83">
        <v>432588</v>
      </c>
      <c r="M141" s="83"/>
      <c r="N141" s="83" t="s">
        <v>132</v>
      </c>
    </row>
    <row r="142" spans="1:14" ht="24">
      <c r="A142" s="125" t="s">
        <v>133</v>
      </c>
      <c r="B142" s="122"/>
      <c r="C142" s="122"/>
      <c r="D142" s="122"/>
      <c r="E142" s="122"/>
      <c r="F142" s="122"/>
      <c r="G142" s="122"/>
      <c r="H142" s="122"/>
      <c r="I142" s="83">
        <v>2801458</v>
      </c>
      <c r="J142" s="83">
        <v>639497</v>
      </c>
      <c r="K142" s="83" t="s">
        <v>134</v>
      </c>
      <c r="L142" s="83">
        <v>2012280</v>
      </c>
      <c r="M142" s="83"/>
      <c r="N142" s="83" t="s">
        <v>132</v>
      </c>
    </row>
    <row r="143" spans="1:14" ht="12">
      <c r="A143" s="125" t="s">
        <v>528</v>
      </c>
      <c r="B143" s="122"/>
      <c r="C143" s="122"/>
      <c r="D143" s="122"/>
      <c r="E143" s="122"/>
      <c r="F143" s="122"/>
      <c r="G143" s="122"/>
      <c r="H143" s="122"/>
      <c r="I143" s="83">
        <v>553442</v>
      </c>
      <c r="J143" s="83"/>
      <c r="K143" s="83"/>
      <c r="L143" s="83"/>
      <c r="M143" s="83"/>
      <c r="N143" s="83"/>
    </row>
    <row r="144" spans="1:14" ht="12">
      <c r="A144" s="125" t="s">
        <v>529</v>
      </c>
      <c r="B144" s="122"/>
      <c r="C144" s="122"/>
      <c r="D144" s="122"/>
      <c r="E144" s="122"/>
      <c r="F144" s="122"/>
      <c r="G144" s="122"/>
      <c r="H144" s="122"/>
      <c r="I144" s="83">
        <v>301041</v>
      </c>
      <c r="J144" s="83"/>
      <c r="K144" s="83"/>
      <c r="L144" s="83"/>
      <c r="M144" s="83"/>
      <c r="N144" s="83"/>
    </row>
    <row r="145" spans="1:14" ht="12">
      <c r="A145" s="126" t="s">
        <v>135</v>
      </c>
      <c r="B145" s="123"/>
      <c r="C145" s="123"/>
      <c r="D145" s="123"/>
      <c r="E145" s="123"/>
      <c r="F145" s="123"/>
      <c r="G145" s="123"/>
      <c r="H145" s="123"/>
      <c r="I145" s="83"/>
      <c r="J145" s="83"/>
      <c r="K145" s="83"/>
      <c r="L145" s="83"/>
      <c r="M145" s="83"/>
      <c r="N145" s="83"/>
    </row>
    <row r="146" spans="1:14" ht="24">
      <c r="A146" s="125" t="s">
        <v>124</v>
      </c>
      <c r="B146" s="122"/>
      <c r="C146" s="122"/>
      <c r="D146" s="122"/>
      <c r="E146" s="122"/>
      <c r="F146" s="122"/>
      <c r="G146" s="122"/>
      <c r="H146" s="122"/>
      <c r="I146" s="83">
        <v>3636102</v>
      </c>
      <c r="J146" s="83"/>
      <c r="K146" s="83"/>
      <c r="L146" s="83"/>
      <c r="M146" s="83"/>
      <c r="N146" s="83" t="s">
        <v>136</v>
      </c>
    </row>
    <row r="147" spans="1:14" ht="24">
      <c r="A147" s="125" t="s">
        <v>126</v>
      </c>
      <c r="B147" s="122"/>
      <c r="C147" s="122"/>
      <c r="D147" s="122"/>
      <c r="E147" s="122"/>
      <c r="F147" s="122"/>
      <c r="G147" s="122"/>
      <c r="H147" s="122"/>
      <c r="I147" s="83">
        <v>19839</v>
      </c>
      <c r="J147" s="83"/>
      <c r="K147" s="83"/>
      <c r="L147" s="83"/>
      <c r="M147" s="83"/>
      <c r="N147" s="83" t="s">
        <v>127</v>
      </c>
    </row>
    <row r="148" spans="1:14" ht="24">
      <c r="A148" s="125" t="s">
        <v>540</v>
      </c>
      <c r="B148" s="122"/>
      <c r="C148" s="122"/>
      <c r="D148" s="122"/>
      <c r="E148" s="122"/>
      <c r="F148" s="122"/>
      <c r="G148" s="122"/>
      <c r="H148" s="122"/>
      <c r="I148" s="83">
        <v>3655941</v>
      </c>
      <c r="J148" s="83"/>
      <c r="K148" s="83"/>
      <c r="L148" s="83"/>
      <c r="M148" s="83"/>
      <c r="N148" s="83" t="s">
        <v>132</v>
      </c>
    </row>
    <row r="149" spans="1:14" ht="12">
      <c r="A149" s="125" t="s">
        <v>541</v>
      </c>
      <c r="B149" s="122"/>
      <c r="C149" s="122"/>
      <c r="D149" s="122"/>
      <c r="E149" s="122"/>
      <c r="F149" s="122"/>
      <c r="G149" s="122"/>
      <c r="H149" s="122"/>
      <c r="I149" s="83"/>
      <c r="J149" s="83"/>
      <c r="K149" s="83"/>
      <c r="L149" s="83"/>
      <c r="M149" s="83"/>
      <c r="N149" s="83"/>
    </row>
    <row r="150" spans="1:14" ht="12">
      <c r="A150" s="125" t="s">
        <v>128</v>
      </c>
      <c r="B150" s="122"/>
      <c r="C150" s="122"/>
      <c r="D150" s="122"/>
      <c r="E150" s="122"/>
      <c r="F150" s="122"/>
      <c r="G150" s="122"/>
      <c r="H150" s="122"/>
      <c r="I150" s="83">
        <v>2012280</v>
      </c>
      <c r="J150" s="83"/>
      <c r="K150" s="83"/>
      <c r="L150" s="83"/>
      <c r="M150" s="83"/>
      <c r="N150" s="83"/>
    </row>
    <row r="151" spans="1:14" ht="12">
      <c r="A151" s="125" t="s">
        <v>542</v>
      </c>
      <c r="B151" s="122"/>
      <c r="C151" s="122"/>
      <c r="D151" s="122"/>
      <c r="E151" s="122"/>
      <c r="F151" s="122"/>
      <c r="G151" s="122"/>
      <c r="H151" s="122"/>
      <c r="I151" s="83">
        <v>149681</v>
      </c>
      <c r="J151" s="83"/>
      <c r="K151" s="83"/>
      <c r="L151" s="83"/>
      <c r="M151" s="83"/>
      <c r="N151" s="83"/>
    </row>
    <row r="152" spans="1:14" ht="12">
      <c r="A152" s="125" t="s">
        <v>543</v>
      </c>
      <c r="B152" s="122"/>
      <c r="C152" s="122"/>
      <c r="D152" s="122"/>
      <c r="E152" s="122"/>
      <c r="F152" s="122"/>
      <c r="G152" s="122"/>
      <c r="H152" s="122"/>
      <c r="I152" s="83">
        <v>650767</v>
      </c>
      <c r="J152" s="83"/>
      <c r="K152" s="83"/>
      <c r="L152" s="83"/>
      <c r="M152" s="83"/>
      <c r="N152" s="83"/>
    </row>
    <row r="153" spans="1:14" ht="12">
      <c r="A153" s="125" t="s">
        <v>544</v>
      </c>
      <c r="B153" s="122"/>
      <c r="C153" s="122"/>
      <c r="D153" s="122"/>
      <c r="E153" s="122"/>
      <c r="F153" s="122"/>
      <c r="G153" s="122"/>
      <c r="H153" s="122"/>
      <c r="I153" s="83">
        <v>553442</v>
      </c>
      <c r="J153" s="83"/>
      <c r="K153" s="83"/>
      <c r="L153" s="83"/>
      <c r="M153" s="83"/>
      <c r="N153" s="83"/>
    </row>
    <row r="154" spans="1:14" ht="12">
      <c r="A154" s="125" t="s">
        <v>545</v>
      </c>
      <c r="B154" s="122"/>
      <c r="C154" s="122"/>
      <c r="D154" s="122"/>
      <c r="E154" s="122"/>
      <c r="F154" s="122"/>
      <c r="G154" s="122"/>
      <c r="H154" s="122"/>
      <c r="I154" s="83">
        <v>301041</v>
      </c>
      <c r="J154" s="83"/>
      <c r="K154" s="83"/>
      <c r="L154" s="83"/>
      <c r="M154" s="83"/>
      <c r="N154" s="83"/>
    </row>
    <row r="155" spans="1:14" ht="24">
      <c r="A155" s="128" t="s">
        <v>137</v>
      </c>
      <c r="B155" s="129"/>
      <c r="C155" s="129"/>
      <c r="D155" s="129"/>
      <c r="E155" s="129"/>
      <c r="F155" s="129"/>
      <c r="G155" s="129"/>
      <c r="H155" s="129"/>
      <c r="I155" s="83">
        <v>3655941</v>
      </c>
      <c r="J155" s="83"/>
      <c r="K155" s="83"/>
      <c r="L155" s="83"/>
      <c r="M155" s="83"/>
      <c r="N155" s="83" t="s">
        <v>132</v>
      </c>
    </row>
    <row r="156" spans="1:14" ht="12">
      <c r="A156" s="95"/>
      <c r="B156" s="127" t="s">
        <v>706</v>
      </c>
      <c r="C156" s="127"/>
      <c r="D156" s="97"/>
      <c r="E156" s="98"/>
      <c r="F156" s="98"/>
      <c r="G156" s="98"/>
      <c r="H156" s="99"/>
      <c r="I156" s="93">
        <v>73119</v>
      </c>
      <c r="J156" s="80"/>
      <c r="K156" s="80"/>
      <c r="L156" s="80"/>
      <c r="M156" s="80"/>
      <c r="N156" s="92"/>
    </row>
    <row r="157" spans="1:14" ht="12">
      <c r="A157" s="95"/>
      <c r="B157" s="100" t="s">
        <v>707</v>
      </c>
      <c r="C157" s="96"/>
      <c r="D157" s="97"/>
      <c r="E157" s="98"/>
      <c r="F157" s="98"/>
      <c r="G157" s="98"/>
      <c r="H157" s="99"/>
      <c r="I157" s="93">
        <f>I155+I156</f>
        <v>3729060</v>
      </c>
      <c r="J157" s="80"/>
      <c r="K157" s="80"/>
      <c r="L157" s="80"/>
      <c r="M157" s="80"/>
      <c r="N157" s="92"/>
    </row>
    <row r="158" spans="1:14" ht="12">
      <c r="A158" s="95"/>
      <c r="B158" s="96" t="s">
        <v>708</v>
      </c>
      <c r="C158" s="96"/>
      <c r="D158" s="97"/>
      <c r="E158" s="98"/>
      <c r="F158" s="98"/>
      <c r="G158" s="98"/>
      <c r="H158" s="99"/>
      <c r="I158" s="102">
        <f>I157*0.18</f>
        <v>671230.7999999999</v>
      </c>
      <c r="J158" s="80"/>
      <c r="K158" s="80"/>
      <c r="L158" s="80"/>
      <c r="M158" s="80"/>
      <c r="N158" s="92"/>
    </row>
    <row r="159" spans="1:14" ht="12">
      <c r="A159" s="94"/>
      <c r="B159" s="101" t="s">
        <v>707</v>
      </c>
      <c r="C159" s="88"/>
      <c r="D159" s="89"/>
      <c r="E159" s="90"/>
      <c r="F159" s="90"/>
      <c r="G159" s="90"/>
      <c r="H159" s="91"/>
      <c r="I159" s="102">
        <f>I157+I158</f>
        <v>4400290.8</v>
      </c>
      <c r="J159" s="80"/>
      <c r="K159" s="80"/>
      <c r="L159" s="80"/>
      <c r="M159" s="80"/>
      <c r="N159" s="92"/>
    </row>
    <row r="160" spans="1:13" ht="12">
      <c r="A160" s="84"/>
      <c r="B160" s="85"/>
      <c r="C160" s="85"/>
      <c r="D160" s="84"/>
      <c r="E160" s="73"/>
      <c r="F160" s="73"/>
      <c r="G160" s="73"/>
      <c r="H160" s="73"/>
      <c r="I160" s="86"/>
      <c r="J160" s="73"/>
      <c r="K160" s="73"/>
      <c r="L160" s="73"/>
      <c r="M160" s="73"/>
    </row>
    <row r="161" spans="1:13" ht="12">
      <c r="A161" s="84"/>
      <c r="B161" s="85"/>
      <c r="C161" s="85"/>
      <c r="D161" s="84"/>
      <c r="E161" s="73"/>
      <c r="F161" s="73"/>
      <c r="G161" s="73"/>
      <c r="H161" s="73"/>
      <c r="I161" s="86"/>
      <c r="J161" s="73"/>
      <c r="K161" s="73"/>
      <c r="L161" s="73"/>
      <c r="M161" s="73"/>
    </row>
    <row r="162" spans="1:13" ht="12">
      <c r="A162" s="84"/>
      <c r="B162" s="85"/>
      <c r="C162" s="85"/>
      <c r="D162" s="84"/>
      <c r="E162" s="73"/>
      <c r="F162" s="73"/>
      <c r="G162" s="73"/>
      <c r="H162" s="73"/>
      <c r="I162" s="86"/>
      <c r="J162" s="73"/>
      <c r="K162" s="73"/>
      <c r="L162" s="73"/>
      <c r="M162" s="73"/>
    </row>
    <row r="163" spans="1:13" ht="12">
      <c r="A163" s="84"/>
      <c r="B163" s="85"/>
      <c r="C163" s="85"/>
      <c r="D163" s="84"/>
      <c r="E163" s="73"/>
      <c r="F163" s="73"/>
      <c r="G163" s="73"/>
      <c r="H163" s="73"/>
      <c r="I163" s="86"/>
      <c r="J163" s="73"/>
      <c r="K163" s="73"/>
      <c r="L163" s="73"/>
      <c r="M163" s="73"/>
    </row>
    <row r="164" spans="1:13" ht="12">
      <c r="A164" s="84"/>
      <c r="B164" s="85"/>
      <c r="C164" s="87" t="s">
        <v>705</v>
      </c>
      <c r="D164" s="84"/>
      <c r="E164" s="73"/>
      <c r="F164" s="87" t="s">
        <v>458</v>
      </c>
      <c r="G164" s="87"/>
      <c r="H164" s="87"/>
      <c r="I164" s="73"/>
      <c r="J164" s="73"/>
      <c r="K164" s="73"/>
      <c r="L164" s="73"/>
      <c r="M164" s="73"/>
    </row>
  </sheetData>
  <sheetProtection/>
  <mergeCells count="75">
    <mergeCell ref="K11:N13"/>
    <mergeCell ref="B156:C156"/>
    <mergeCell ref="A152:H152"/>
    <mergeCell ref="A153:H153"/>
    <mergeCell ref="A154:H154"/>
    <mergeCell ref="A155:H155"/>
    <mergeCell ref="A148:H148"/>
    <mergeCell ref="A149:H149"/>
    <mergeCell ref="A150:H150"/>
    <mergeCell ref="A151:H151"/>
    <mergeCell ref="A144:H144"/>
    <mergeCell ref="A145:H145"/>
    <mergeCell ref="A146:H146"/>
    <mergeCell ref="A147:H147"/>
    <mergeCell ref="A140:H140"/>
    <mergeCell ref="A141:H141"/>
    <mergeCell ref="A142:H142"/>
    <mergeCell ref="A143:H143"/>
    <mergeCell ref="A136:H136"/>
    <mergeCell ref="A137:H137"/>
    <mergeCell ref="A138:H138"/>
    <mergeCell ref="A139:H139"/>
    <mergeCell ref="A132:H132"/>
    <mergeCell ref="A133:H133"/>
    <mergeCell ref="A134:H134"/>
    <mergeCell ref="A135:H135"/>
    <mergeCell ref="A128:H128"/>
    <mergeCell ref="A129:H129"/>
    <mergeCell ref="A130:H130"/>
    <mergeCell ref="A131:H131"/>
    <mergeCell ref="A112:N112"/>
    <mergeCell ref="A120:N120"/>
    <mergeCell ref="A126:H126"/>
    <mergeCell ref="A127:H127"/>
    <mergeCell ref="A52:N52"/>
    <mergeCell ref="A70:N70"/>
    <mergeCell ref="A93:N93"/>
    <mergeCell ref="A102:N102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20:N20"/>
    <mergeCell ref="A33:H33"/>
    <mergeCell ref="A34:H34"/>
    <mergeCell ref="A35:H35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7480314960629921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30" t="s">
        <v>376</v>
      </c>
      <c r="B1" s="131"/>
      <c r="C1" s="131"/>
      <c r="D1" s="131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314</v>
      </c>
      <c r="B4" s="17" t="s">
        <v>377</v>
      </c>
      <c r="C4" s="17" t="s">
        <v>314</v>
      </c>
      <c r="D4" s="18" t="s">
        <v>378</v>
      </c>
      <c r="E4" s="17" t="s">
        <v>314</v>
      </c>
      <c r="F4" s="19" t="s">
        <v>394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395</v>
      </c>
      <c r="C6" s="25">
        <v>1</v>
      </c>
      <c r="D6" s="27" t="s">
        <v>192</v>
      </c>
      <c r="E6" s="23">
        <v>1</v>
      </c>
      <c r="F6" s="24" t="s">
        <v>396</v>
      </c>
    </row>
    <row r="7" spans="1:6" ht="12.75">
      <c r="A7" s="25"/>
      <c r="B7" s="28"/>
      <c r="C7" s="25">
        <v>2</v>
      </c>
      <c r="D7" s="29" t="s">
        <v>315</v>
      </c>
      <c r="E7" s="23">
        <v>2</v>
      </c>
      <c r="F7" s="24" t="s">
        <v>397</v>
      </c>
    </row>
    <row r="8" spans="1:6" ht="12.75">
      <c r="A8" s="25">
        <v>1</v>
      </c>
      <c r="B8" s="30" t="s">
        <v>228</v>
      </c>
      <c r="C8" s="25">
        <v>3</v>
      </c>
      <c r="D8" s="29" t="s">
        <v>316</v>
      </c>
      <c r="E8" s="23">
        <v>3</v>
      </c>
      <c r="F8" s="24" t="s">
        <v>398</v>
      </c>
    </row>
    <row r="9" spans="1:6" ht="12.75">
      <c r="A9" s="31">
        <v>2</v>
      </c>
      <c r="B9" s="32" t="s">
        <v>229</v>
      </c>
      <c r="C9" s="25">
        <v>4</v>
      </c>
      <c r="D9" s="29" t="s">
        <v>317</v>
      </c>
      <c r="E9" s="23">
        <v>4</v>
      </c>
      <c r="F9" s="24" t="s">
        <v>399</v>
      </c>
    </row>
    <row r="10" spans="1:6" ht="12.75">
      <c r="A10" s="25">
        <v>3</v>
      </c>
      <c r="B10" s="30" t="s">
        <v>230</v>
      </c>
      <c r="C10" s="25">
        <v>5</v>
      </c>
      <c r="D10" s="29" t="s">
        <v>318</v>
      </c>
      <c r="E10" s="23">
        <v>5</v>
      </c>
      <c r="F10" s="24" t="s">
        <v>400</v>
      </c>
    </row>
    <row r="11" spans="1:6" ht="12.75">
      <c r="A11" s="31">
        <v>4</v>
      </c>
      <c r="B11" s="32" t="s">
        <v>231</v>
      </c>
      <c r="C11" s="25">
        <v>6</v>
      </c>
      <c r="D11" s="29" t="s">
        <v>319</v>
      </c>
      <c r="E11" s="23">
        <v>6</v>
      </c>
      <c r="F11" s="24" t="s">
        <v>401</v>
      </c>
    </row>
    <row r="12" spans="1:6" ht="12.75">
      <c r="A12" s="25">
        <v>5</v>
      </c>
      <c r="B12" s="32" t="s">
        <v>412</v>
      </c>
      <c r="D12" s="29"/>
      <c r="E12" s="23">
        <v>7</v>
      </c>
      <c r="F12" s="24" t="s">
        <v>402</v>
      </c>
    </row>
    <row r="13" spans="1:6" ht="12.75">
      <c r="A13" s="31">
        <v>6</v>
      </c>
      <c r="B13" s="32" t="s">
        <v>413</v>
      </c>
      <c r="C13" s="25">
        <v>7</v>
      </c>
      <c r="D13" s="27" t="s">
        <v>155</v>
      </c>
      <c r="E13" s="23">
        <v>8</v>
      </c>
      <c r="F13" s="24" t="s">
        <v>403</v>
      </c>
    </row>
    <row r="14" spans="1:6" ht="12.75">
      <c r="A14" s="25">
        <v>7</v>
      </c>
      <c r="B14" s="32" t="s">
        <v>414</v>
      </c>
      <c r="C14" s="25">
        <v>8</v>
      </c>
      <c r="D14" s="29" t="s">
        <v>320</v>
      </c>
      <c r="E14" s="23"/>
      <c r="F14" s="24"/>
    </row>
    <row r="15" spans="1:6" ht="12.75">
      <c r="A15" s="31">
        <v>8</v>
      </c>
      <c r="B15" s="32" t="s">
        <v>415</v>
      </c>
      <c r="C15" s="25">
        <v>9</v>
      </c>
      <c r="D15" s="29" t="s">
        <v>321</v>
      </c>
      <c r="E15" s="23"/>
      <c r="F15" s="24"/>
    </row>
    <row r="16" spans="1:6" ht="12.75">
      <c r="A16" s="25">
        <v>9</v>
      </c>
      <c r="B16" s="32" t="s">
        <v>416</v>
      </c>
      <c r="C16" s="25">
        <v>10</v>
      </c>
      <c r="D16" s="29" t="s">
        <v>322</v>
      </c>
      <c r="E16" s="23"/>
      <c r="F16" s="24"/>
    </row>
    <row r="17" spans="1:6" ht="12.75">
      <c r="A17" s="31">
        <v>10</v>
      </c>
      <c r="B17" s="32" t="s">
        <v>417</v>
      </c>
      <c r="C17" s="25">
        <v>11</v>
      </c>
      <c r="D17" s="29" t="s">
        <v>323</v>
      </c>
      <c r="E17" s="23"/>
      <c r="F17" s="24"/>
    </row>
    <row r="18" spans="1:6" ht="12.75">
      <c r="A18" s="25">
        <v>11</v>
      </c>
      <c r="B18" s="32" t="s">
        <v>418</v>
      </c>
      <c r="C18" s="25">
        <v>12</v>
      </c>
      <c r="D18" s="29" t="s">
        <v>324</v>
      </c>
      <c r="E18" s="23"/>
      <c r="F18" s="24"/>
    </row>
    <row r="19" spans="1:6" ht="12.75">
      <c r="A19" s="25">
        <v>12</v>
      </c>
      <c r="B19" s="32" t="s">
        <v>232</v>
      </c>
      <c r="D19" s="29"/>
      <c r="E19" s="23"/>
      <c r="F19" s="24"/>
    </row>
    <row r="20" spans="1:6" ht="12.75">
      <c r="A20" s="25">
        <v>13</v>
      </c>
      <c r="B20" s="30" t="s">
        <v>233</v>
      </c>
      <c r="C20" s="25">
        <v>13</v>
      </c>
      <c r="D20" s="27" t="s">
        <v>152</v>
      </c>
      <c r="E20" s="23"/>
      <c r="F20" s="24"/>
    </row>
    <row r="21" spans="1:6" ht="12.75">
      <c r="A21" s="25">
        <v>14</v>
      </c>
      <c r="B21" s="30" t="s">
        <v>234</v>
      </c>
      <c r="C21" s="25">
        <v>14</v>
      </c>
      <c r="D21" s="29" t="s">
        <v>325</v>
      </c>
      <c r="E21" s="23"/>
      <c r="F21" s="24"/>
    </row>
    <row r="22" spans="1:6" ht="12.75">
      <c r="A22" s="25">
        <v>15</v>
      </c>
      <c r="B22" s="30" t="s">
        <v>235</v>
      </c>
      <c r="C22" s="25">
        <v>15</v>
      </c>
      <c r="D22" s="29" t="s">
        <v>326</v>
      </c>
      <c r="E22" s="23"/>
      <c r="F22" s="24"/>
    </row>
    <row r="23" spans="1:6" ht="12.75">
      <c r="A23" s="25">
        <v>16</v>
      </c>
      <c r="B23" s="30" t="s">
        <v>404</v>
      </c>
      <c r="C23" s="25">
        <v>16</v>
      </c>
      <c r="D23" s="29" t="s">
        <v>327</v>
      </c>
      <c r="E23" s="23"/>
      <c r="F23" s="24"/>
    </row>
    <row r="24" spans="1:6" ht="12.75">
      <c r="A24" s="25">
        <v>17</v>
      </c>
      <c r="B24" s="30" t="s">
        <v>405</v>
      </c>
      <c r="C24" s="25">
        <v>17</v>
      </c>
      <c r="D24" s="29" t="s">
        <v>328</v>
      </c>
      <c r="E24" s="23"/>
      <c r="F24" s="24"/>
    </row>
    <row r="25" spans="1:6" ht="12.75">
      <c r="A25" s="25">
        <v>18</v>
      </c>
      <c r="B25" s="30" t="s">
        <v>406</v>
      </c>
      <c r="C25" s="25">
        <v>18</v>
      </c>
      <c r="D25" s="29" t="s">
        <v>329</v>
      </c>
      <c r="E25" s="23"/>
      <c r="F25" s="24"/>
    </row>
    <row r="26" spans="1:6" ht="12.75">
      <c r="A26" s="25">
        <v>19</v>
      </c>
      <c r="B26" s="32" t="s">
        <v>236</v>
      </c>
      <c r="D26" s="29"/>
      <c r="E26" s="23"/>
      <c r="F26" s="24"/>
    </row>
    <row r="27" spans="1:6" ht="12.75">
      <c r="A27" s="25">
        <v>20</v>
      </c>
      <c r="B27" s="30" t="s">
        <v>237</v>
      </c>
      <c r="C27" s="25">
        <v>19</v>
      </c>
      <c r="D27" s="27" t="s">
        <v>153</v>
      </c>
      <c r="E27" s="23"/>
      <c r="F27" s="24"/>
    </row>
    <row r="28" spans="1:6" ht="12.75">
      <c r="A28" s="25">
        <v>21</v>
      </c>
      <c r="B28" s="30" t="s">
        <v>238</v>
      </c>
      <c r="C28" s="25">
        <v>20</v>
      </c>
      <c r="D28" s="29" t="s">
        <v>330</v>
      </c>
      <c r="E28" s="23"/>
      <c r="F28" s="24"/>
    </row>
    <row r="29" spans="1:6" ht="12.75">
      <c r="A29" s="25">
        <v>22</v>
      </c>
      <c r="B29" s="30" t="s">
        <v>239</v>
      </c>
      <c r="C29" s="25">
        <v>21</v>
      </c>
      <c r="D29" s="29" t="s">
        <v>331</v>
      </c>
      <c r="E29" s="23"/>
      <c r="F29" s="24"/>
    </row>
    <row r="30" spans="1:6" ht="12.75">
      <c r="A30" s="25">
        <v>23</v>
      </c>
      <c r="B30" s="30" t="s">
        <v>240</v>
      </c>
      <c r="C30" s="25">
        <v>22</v>
      </c>
      <c r="D30" s="29" t="s">
        <v>332</v>
      </c>
      <c r="E30" s="23"/>
      <c r="F30" s="24"/>
    </row>
    <row r="31" spans="1:6" ht="12.75">
      <c r="A31" s="25">
        <v>24</v>
      </c>
      <c r="B31" s="32" t="s">
        <v>241</v>
      </c>
      <c r="C31" s="25">
        <v>23</v>
      </c>
      <c r="D31" s="29" t="s">
        <v>333</v>
      </c>
      <c r="E31" s="23"/>
      <c r="F31" s="24"/>
    </row>
    <row r="32" spans="1:6" ht="12.75">
      <c r="A32" s="25">
        <v>25</v>
      </c>
      <c r="B32" s="32" t="s">
        <v>242</v>
      </c>
      <c r="C32" s="25">
        <v>24</v>
      </c>
      <c r="D32" s="29" t="s">
        <v>334</v>
      </c>
      <c r="E32" s="23"/>
      <c r="F32" s="24"/>
    </row>
    <row r="33" spans="1:6" ht="12.75">
      <c r="A33" s="25">
        <v>26</v>
      </c>
      <c r="B33" s="32" t="s">
        <v>243</v>
      </c>
      <c r="D33" s="29"/>
      <c r="E33" s="23"/>
      <c r="F33" s="24"/>
    </row>
    <row r="34" spans="1:6" ht="12.75">
      <c r="A34" s="25">
        <v>27</v>
      </c>
      <c r="B34" s="32" t="s">
        <v>244</v>
      </c>
      <c r="C34" s="25">
        <v>25</v>
      </c>
      <c r="D34" s="27" t="s">
        <v>154</v>
      </c>
      <c r="E34" s="23"/>
      <c r="F34" s="24"/>
    </row>
    <row r="35" spans="1:6" ht="12.75">
      <c r="A35" s="25">
        <v>28</v>
      </c>
      <c r="B35" s="32" t="s">
        <v>245</v>
      </c>
      <c r="C35" s="25">
        <v>26</v>
      </c>
      <c r="D35" s="29" t="s">
        <v>335</v>
      </c>
      <c r="E35" s="23"/>
      <c r="F35" s="24"/>
    </row>
    <row r="36" spans="1:6" ht="12.75">
      <c r="A36" s="25">
        <v>29</v>
      </c>
      <c r="B36" s="32" t="s">
        <v>246</v>
      </c>
      <c r="C36" s="25">
        <v>27</v>
      </c>
      <c r="D36" s="29" t="s">
        <v>336</v>
      </c>
      <c r="E36" s="23"/>
      <c r="F36" s="24"/>
    </row>
    <row r="37" spans="1:6" ht="12.75">
      <c r="A37" s="25">
        <v>30</v>
      </c>
      <c r="B37" s="32" t="s">
        <v>247</v>
      </c>
      <c r="C37" s="25">
        <v>28</v>
      </c>
      <c r="D37" s="29" t="s">
        <v>337</v>
      </c>
      <c r="E37" s="23"/>
      <c r="F37" s="24"/>
    </row>
    <row r="38" spans="1:6" ht="12.75">
      <c r="A38" s="25">
        <v>31</v>
      </c>
      <c r="B38" s="30" t="s">
        <v>248</v>
      </c>
      <c r="C38" s="25">
        <v>29</v>
      </c>
      <c r="D38" s="29" t="s">
        <v>338</v>
      </c>
      <c r="E38" s="23"/>
      <c r="F38" s="24"/>
    </row>
    <row r="39" spans="1:6" ht="12.75">
      <c r="A39" s="25">
        <v>32</v>
      </c>
      <c r="B39" s="32" t="s">
        <v>379</v>
      </c>
      <c r="C39" s="25">
        <v>30</v>
      </c>
      <c r="D39" s="29" t="s">
        <v>339</v>
      </c>
      <c r="E39" s="23"/>
      <c r="F39" s="24"/>
    </row>
    <row r="40" spans="1:6" ht="12.75">
      <c r="A40" s="25">
        <v>33</v>
      </c>
      <c r="B40" s="30" t="s">
        <v>249</v>
      </c>
      <c r="D40" s="29"/>
      <c r="E40" s="23"/>
      <c r="F40" s="24"/>
    </row>
    <row r="41" spans="1:6" ht="12.75">
      <c r="A41" s="25">
        <v>34</v>
      </c>
      <c r="B41" s="30" t="s">
        <v>250</v>
      </c>
      <c r="C41" s="25">
        <v>31</v>
      </c>
      <c r="D41" s="27" t="s">
        <v>158</v>
      </c>
      <c r="E41" s="23"/>
      <c r="F41" s="24"/>
    </row>
    <row r="42" spans="1:6" ht="12.75">
      <c r="A42" s="25">
        <v>35</v>
      </c>
      <c r="B42" s="30" t="s">
        <v>251</v>
      </c>
      <c r="C42" s="25">
        <v>32</v>
      </c>
      <c r="D42" s="29" t="s">
        <v>340</v>
      </c>
      <c r="E42" s="23"/>
      <c r="F42" s="24"/>
    </row>
    <row r="43" spans="1:6" ht="12.75">
      <c r="A43" s="25">
        <v>36</v>
      </c>
      <c r="B43" s="30" t="s">
        <v>252</v>
      </c>
      <c r="C43" s="25">
        <v>33</v>
      </c>
      <c r="D43" s="29" t="s">
        <v>341</v>
      </c>
      <c r="E43" s="23"/>
      <c r="F43" s="24"/>
    </row>
    <row r="44" spans="1:6" ht="12.75">
      <c r="A44" s="25">
        <v>37</v>
      </c>
      <c r="B44" s="30" t="s">
        <v>253</v>
      </c>
      <c r="C44" s="25">
        <v>34</v>
      </c>
      <c r="D44" s="29" t="s">
        <v>342</v>
      </c>
      <c r="E44" s="23"/>
      <c r="F44" s="24"/>
    </row>
    <row r="45" spans="1:6" ht="12.75">
      <c r="A45" s="25">
        <v>38</v>
      </c>
      <c r="B45" s="30" t="s">
        <v>254</v>
      </c>
      <c r="C45" s="25">
        <v>35</v>
      </c>
      <c r="D45" s="29" t="s">
        <v>343</v>
      </c>
      <c r="E45" s="23"/>
      <c r="F45" s="24"/>
    </row>
    <row r="46" spans="1:6" ht="12.75">
      <c r="A46" s="25">
        <v>39</v>
      </c>
      <c r="B46" s="30" t="s">
        <v>255</v>
      </c>
      <c r="C46" s="25">
        <v>36</v>
      </c>
      <c r="D46" s="29" t="s">
        <v>344</v>
      </c>
      <c r="E46" s="23"/>
      <c r="F46" s="24"/>
    </row>
    <row r="47" spans="1:6" ht="12.75">
      <c r="A47" s="25">
        <v>40</v>
      </c>
      <c r="B47" s="30" t="s">
        <v>256</v>
      </c>
      <c r="C47" s="45"/>
      <c r="D47" s="29"/>
      <c r="E47" s="23"/>
      <c r="F47" s="24"/>
    </row>
    <row r="48" spans="1:6" ht="12.75">
      <c r="A48" s="25">
        <v>41</v>
      </c>
      <c r="B48" s="30" t="s">
        <v>257</v>
      </c>
      <c r="C48" s="25">
        <v>37</v>
      </c>
      <c r="D48" s="27" t="s">
        <v>157</v>
      </c>
      <c r="E48" s="23"/>
      <c r="F48" s="24"/>
    </row>
    <row r="49" spans="1:6" ht="12.75">
      <c r="A49" s="25">
        <v>42</v>
      </c>
      <c r="B49" s="32" t="s">
        <v>258</v>
      </c>
      <c r="C49" s="25">
        <v>38</v>
      </c>
      <c r="D49" s="29" t="s">
        <v>345</v>
      </c>
      <c r="E49" s="23"/>
      <c r="F49" s="24"/>
    </row>
    <row r="50" spans="1:6" ht="12.75">
      <c r="A50" s="25">
        <v>43</v>
      </c>
      <c r="B50" s="30" t="s">
        <v>259</v>
      </c>
      <c r="C50" s="25">
        <v>39</v>
      </c>
      <c r="D50" s="29" t="s">
        <v>346</v>
      </c>
      <c r="E50" s="23"/>
      <c r="F50" s="24"/>
    </row>
    <row r="51" spans="1:6" ht="12.75">
      <c r="A51" s="25">
        <v>44</v>
      </c>
      <c r="B51" s="30" t="s">
        <v>260</v>
      </c>
      <c r="C51" s="25">
        <v>40</v>
      </c>
      <c r="D51" s="29" t="s">
        <v>347</v>
      </c>
      <c r="E51" s="23"/>
      <c r="F51" s="24"/>
    </row>
    <row r="52" spans="1:6" ht="12.75">
      <c r="A52" s="25">
        <v>45</v>
      </c>
      <c r="B52" s="30" t="s">
        <v>261</v>
      </c>
      <c r="C52" s="25">
        <v>41</v>
      </c>
      <c r="D52" s="29" t="s">
        <v>348</v>
      </c>
      <c r="E52" s="23"/>
      <c r="F52" s="24"/>
    </row>
    <row r="53" spans="1:6" ht="12.75">
      <c r="A53" s="25">
        <v>46</v>
      </c>
      <c r="B53" s="30" t="s">
        <v>262</v>
      </c>
      <c r="C53" s="25">
        <v>42</v>
      </c>
      <c r="D53" s="29" t="s">
        <v>349</v>
      </c>
      <c r="E53" s="23"/>
      <c r="F53" s="24"/>
    </row>
    <row r="54" spans="1:6" ht="12.75">
      <c r="A54" s="25">
        <v>47</v>
      </c>
      <c r="B54" s="30" t="s">
        <v>419</v>
      </c>
      <c r="D54" s="29"/>
      <c r="E54" s="23"/>
      <c r="F54" s="24"/>
    </row>
    <row r="55" spans="1:6" ht="12.75">
      <c r="A55" s="25">
        <v>48</v>
      </c>
      <c r="B55" s="30" t="s">
        <v>420</v>
      </c>
      <c r="C55" s="25">
        <v>43</v>
      </c>
      <c r="D55" s="27" t="s">
        <v>156</v>
      </c>
      <c r="E55" s="23"/>
      <c r="F55" s="24"/>
    </row>
    <row r="56" spans="1:6" ht="12.75">
      <c r="A56" s="25">
        <v>49</v>
      </c>
      <c r="B56" s="30" t="s">
        <v>421</v>
      </c>
      <c r="C56" s="25">
        <v>44</v>
      </c>
      <c r="D56" s="29" t="s">
        <v>350</v>
      </c>
      <c r="E56" s="23"/>
      <c r="F56" s="24"/>
    </row>
    <row r="57" spans="1:6" ht="12.75">
      <c r="A57" s="25">
        <v>50</v>
      </c>
      <c r="B57" s="30" t="s">
        <v>422</v>
      </c>
      <c r="C57" s="25">
        <v>45</v>
      </c>
      <c r="D57" s="29" t="s">
        <v>351</v>
      </c>
      <c r="E57" s="23"/>
      <c r="F57" s="24"/>
    </row>
    <row r="58" spans="1:6" ht="12.75">
      <c r="A58" s="25">
        <v>51</v>
      </c>
      <c r="B58" s="30" t="s">
        <v>423</v>
      </c>
      <c r="C58" s="25">
        <v>46</v>
      </c>
      <c r="D58" s="29" t="s">
        <v>352</v>
      </c>
      <c r="E58" s="23"/>
      <c r="F58" s="24"/>
    </row>
    <row r="59" spans="1:6" ht="12.75">
      <c r="A59" s="25">
        <v>52</v>
      </c>
      <c r="B59" s="30" t="s">
        <v>424</v>
      </c>
      <c r="C59" s="25">
        <v>47</v>
      </c>
      <c r="D59" s="29" t="s">
        <v>353</v>
      </c>
      <c r="E59" s="23"/>
      <c r="F59" s="24"/>
    </row>
    <row r="60" spans="1:6" ht="12.75">
      <c r="A60" s="25">
        <v>53</v>
      </c>
      <c r="B60" s="30" t="s">
        <v>425</v>
      </c>
      <c r="C60" s="25">
        <v>48</v>
      </c>
      <c r="D60" s="29" t="s">
        <v>354</v>
      </c>
      <c r="E60" s="23"/>
      <c r="F60" s="24"/>
    </row>
    <row r="61" spans="1:6" ht="12.75">
      <c r="A61" s="25">
        <v>54</v>
      </c>
      <c r="B61" s="30" t="s">
        <v>426</v>
      </c>
      <c r="D61" s="29"/>
      <c r="E61" s="23"/>
      <c r="F61" s="24"/>
    </row>
    <row r="62" spans="1:6" ht="12.75">
      <c r="A62" s="25">
        <v>55</v>
      </c>
      <c r="B62" s="30" t="s">
        <v>427</v>
      </c>
      <c r="C62" s="25">
        <v>49</v>
      </c>
      <c r="D62" s="27" t="s">
        <v>355</v>
      </c>
      <c r="E62" s="23"/>
      <c r="F62" s="24"/>
    </row>
    <row r="63" spans="1:6" ht="12.75">
      <c r="A63" s="25">
        <v>56</v>
      </c>
      <c r="B63" s="30" t="s">
        <v>428</v>
      </c>
      <c r="C63" s="25">
        <v>50</v>
      </c>
      <c r="D63" s="33" t="s">
        <v>356</v>
      </c>
      <c r="E63" s="23"/>
      <c r="F63" s="24"/>
    </row>
    <row r="64" spans="1:6" ht="14.25" customHeight="1">
      <c r="A64" s="25">
        <v>57</v>
      </c>
      <c r="B64" s="30" t="s">
        <v>429</v>
      </c>
      <c r="C64" s="25">
        <v>51</v>
      </c>
      <c r="D64" s="33" t="s">
        <v>149</v>
      </c>
      <c r="E64" s="23"/>
      <c r="F64" s="24"/>
    </row>
    <row r="65" spans="1:6" ht="12.75">
      <c r="A65" s="25">
        <v>58</v>
      </c>
      <c r="B65" s="30" t="s">
        <v>430</v>
      </c>
      <c r="C65" s="25">
        <v>52</v>
      </c>
      <c r="D65" s="33" t="s">
        <v>150</v>
      </c>
      <c r="E65" s="23"/>
      <c r="F65" s="24"/>
    </row>
    <row r="66" spans="1:6" ht="12.75">
      <c r="A66" s="25">
        <v>59</v>
      </c>
      <c r="B66" s="30" t="s">
        <v>431</v>
      </c>
      <c r="C66" s="25">
        <v>53</v>
      </c>
      <c r="D66" s="33" t="s">
        <v>151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407</v>
      </c>
      <c r="C68" s="25">
        <v>54</v>
      </c>
      <c r="D68" s="27" t="s">
        <v>161</v>
      </c>
      <c r="E68" s="23"/>
      <c r="F68" s="24"/>
    </row>
    <row r="69" spans="1:6" ht="12.75">
      <c r="A69" s="31"/>
      <c r="B69" s="28"/>
      <c r="C69" s="25">
        <v>55</v>
      </c>
      <c r="D69" s="33" t="s">
        <v>162</v>
      </c>
      <c r="E69" s="23"/>
      <c r="F69" s="24"/>
    </row>
    <row r="70" spans="1:6" ht="12.75" customHeight="1">
      <c r="A70" s="25">
        <v>60</v>
      </c>
      <c r="B70" s="32" t="s">
        <v>263</v>
      </c>
      <c r="C70" s="25">
        <v>56</v>
      </c>
      <c r="D70" s="29" t="s">
        <v>201</v>
      </c>
      <c r="E70" s="23"/>
      <c r="F70" s="24"/>
    </row>
    <row r="71" spans="1:6" ht="13.5" customHeight="1">
      <c r="A71" s="31">
        <v>61</v>
      </c>
      <c r="B71" s="32" t="s">
        <v>264</v>
      </c>
      <c r="C71" s="25">
        <v>57</v>
      </c>
      <c r="D71" s="29" t="s">
        <v>202</v>
      </c>
      <c r="E71" s="23"/>
      <c r="F71" s="24"/>
    </row>
    <row r="72" spans="1:6" ht="12.75">
      <c r="A72" s="25">
        <v>62</v>
      </c>
      <c r="B72" s="32" t="s">
        <v>265</v>
      </c>
      <c r="D72" s="33"/>
      <c r="E72" s="23"/>
      <c r="F72" s="24"/>
    </row>
    <row r="73" spans="1:6" ht="12.75">
      <c r="A73" s="31">
        <v>63</v>
      </c>
      <c r="B73" s="32" t="s">
        <v>266</v>
      </c>
      <c r="C73" s="25">
        <v>58</v>
      </c>
      <c r="D73" s="27" t="s">
        <v>144</v>
      </c>
      <c r="E73" s="23"/>
      <c r="F73" s="24"/>
    </row>
    <row r="74" spans="1:6" ht="12.75">
      <c r="A74" s="25">
        <v>64</v>
      </c>
      <c r="B74" s="32" t="s">
        <v>267</v>
      </c>
      <c r="C74" s="25">
        <v>59</v>
      </c>
      <c r="D74" s="33" t="s">
        <v>145</v>
      </c>
      <c r="E74" s="23"/>
      <c r="F74" s="24"/>
    </row>
    <row r="75" spans="1:6" ht="12.75">
      <c r="A75" s="31">
        <v>65</v>
      </c>
      <c r="B75" s="32" t="s">
        <v>268</v>
      </c>
      <c r="C75" s="25">
        <v>60</v>
      </c>
      <c r="D75" s="33" t="s">
        <v>146</v>
      </c>
      <c r="E75" s="23"/>
      <c r="F75" s="24"/>
    </row>
    <row r="76" spans="1:6" ht="12.75">
      <c r="A76" s="25">
        <v>66</v>
      </c>
      <c r="B76" s="32" t="s">
        <v>269</v>
      </c>
      <c r="C76" s="25">
        <v>61</v>
      </c>
      <c r="D76" s="33" t="s">
        <v>147</v>
      </c>
      <c r="E76" s="23"/>
      <c r="F76" s="24"/>
    </row>
    <row r="77" spans="1:6" ht="12.75">
      <c r="A77" s="31">
        <v>67</v>
      </c>
      <c r="B77" s="32" t="s">
        <v>270</v>
      </c>
      <c r="C77" s="25">
        <v>62</v>
      </c>
      <c r="D77" s="33" t="s">
        <v>148</v>
      </c>
      <c r="E77" s="23"/>
      <c r="F77" s="24"/>
    </row>
    <row r="78" spans="1:6" ht="12.75">
      <c r="A78" s="25">
        <v>68</v>
      </c>
      <c r="B78" s="32" t="s">
        <v>271</v>
      </c>
      <c r="C78" s="25">
        <v>63</v>
      </c>
      <c r="D78" s="29" t="s">
        <v>185</v>
      </c>
      <c r="E78" s="23"/>
      <c r="F78" s="24"/>
    </row>
    <row r="79" spans="1:6" ht="12.75">
      <c r="A79" s="31">
        <v>69</v>
      </c>
      <c r="B79" s="32" t="s">
        <v>272</v>
      </c>
      <c r="C79" s="25">
        <v>64</v>
      </c>
      <c r="D79" s="33" t="s">
        <v>186</v>
      </c>
      <c r="E79" s="23"/>
      <c r="F79" s="24"/>
    </row>
    <row r="80" spans="1:6" ht="12.75">
      <c r="A80" s="25">
        <v>70</v>
      </c>
      <c r="B80" s="32" t="s">
        <v>273</v>
      </c>
      <c r="C80" s="25">
        <v>65</v>
      </c>
      <c r="D80" s="33" t="s">
        <v>191</v>
      </c>
      <c r="E80" s="23"/>
      <c r="F80" s="24"/>
    </row>
    <row r="81" spans="1:6" ht="12.75">
      <c r="A81" s="31">
        <v>71</v>
      </c>
      <c r="B81" s="32" t="s">
        <v>274</v>
      </c>
      <c r="C81" s="25">
        <v>66</v>
      </c>
      <c r="D81" s="33" t="s">
        <v>187</v>
      </c>
      <c r="E81" s="23"/>
      <c r="F81" s="24"/>
    </row>
    <row r="82" spans="1:6" ht="12" customHeight="1">
      <c r="A82" s="25">
        <v>72</v>
      </c>
      <c r="B82" s="32" t="s">
        <v>275</v>
      </c>
      <c r="C82" s="25">
        <v>67</v>
      </c>
      <c r="D82" s="33" t="s">
        <v>188</v>
      </c>
      <c r="E82" s="23"/>
      <c r="F82" s="24"/>
    </row>
    <row r="83" spans="1:6" ht="12.75" customHeight="1">
      <c r="A83" s="31">
        <v>73</v>
      </c>
      <c r="B83" s="32" t="s">
        <v>276</v>
      </c>
      <c r="C83" s="25">
        <v>68</v>
      </c>
      <c r="D83" s="33" t="s">
        <v>189</v>
      </c>
      <c r="E83" s="23"/>
      <c r="F83" s="24"/>
    </row>
    <row r="84" spans="1:6" ht="12.75">
      <c r="A84" s="25">
        <v>74</v>
      </c>
      <c r="B84" s="32" t="s">
        <v>277</v>
      </c>
      <c r="C84" s="25">
        <v>69</v>
      </c>
      <c r="D84" s="33" t="s">
        <v>190</v>
      </c>
      <c r="E84" s="23"/>
      <c r="F84" s="24"/>
    </row>
    <row r="85" spans="1:6" ht="12.75">
      <c r="A85" s="31">
        <v>75</v>
      </c>
      <c r="B85" s="32" t="s">
        <v>278</v>
      </c>
      <c r="C85" s="25">
        <v>70</v>
      </c>
      <c r="D85" s="29" t="s">
        <v>193</v>
      </c>
      <c r="E85" s="23"/>
      <c r="F85" s="24"/>
    </row>
    <row r="86" spans="1:6" ht="12.75">
      <c r="A86" s="25">
        <v>76</v>
      </c>
      <c r="B86" s="32" t="s">
        <v>279</v>
      </c>
      <c r="C86" s="25">
        <v>71</v>
      </c>
      <c r="D86" s="29" t="s">
        <v>194</v>
      </c>
      <c r="E86" s="23"/>
      <c r="F86" s="24"/>
    </row>
    <row r="87" spans="1:6" ht="12.75">
      <c r="A87" s="31">
        <v>77</v>
      </c>
      <c r="B87" s="32" t="s">
        <v>280</v>
      </c>
      <c r="C87" s="25">
        <v>72</v>
      </c>
      <c r="D87" s="29" t="s">
        <v>207</v>
      </c>
      <c r="E87" s="23"/>
      <c r="F87" s="24"/>
    </row>
    <row r="88" spans="1:6" ht="12.75">
      <c r="A88" s="25"/>
      <c r="B88" s="34"/>
      <c r="C88" s="25">
        <v>73</v>
      </c>
      <c r="D88" s="29" t="s">
        <v>206</v>
      </c>
      <c r="E88" s="23"/>
      <c r="F88" s="24"/>
    </row>
    <row r="89" spans="1:6" ht="12.75">
      <c r="A89" s="25"/>
      <c r="B89" s="26" t="s">
        <v>408</v>
      </c>
      <c r="C89" s="25">
        <v>74</v>
      </c>
      <c r="D89" s="29" t="s">
        <v>205</v>
      </c>
      <c r="E89" s="23"/>
      <c r="F89" s="24"/>
    </row>
    <row r="90" spans="1:6" ht="12.75">
      <c r="A90" s="25"/>
      <c r="B90" s="26"/>
      <c r="C90" s="25">
        <v>75</v>
      </c>
      <c r="D90" s="29" t="s">
        <v>204</v>
      </c>
      <c r="E90" s="23"/>
      <c r="F90" s="24"/>
    </row>
    <row r="91" spans="1:6" ht="12.75">
      <c r="A91" s="25">
        <v>78</v>
      </c>
      <c r="B91" s="32" t="s">
        <v>432</v>
      </c>
      <c r="C91" s="25">
        <v>76</v>
      </c>
      <c r="D91" s="29" t="s">
        <v>203</v>
      </c>
      <c r="E91" s="23"/>
      <c r="F91" s="24"/>
    </row>
    <row r="92" spans="1:6" ht="12.75">
      <c r="A92" s="25">
        <v>79</v>
      </c>
      <c r="B92" s="32" t="s">
        <v>433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434</v>
      </c>
      <c r="C93" s="25">
        <v>77</v>
      </c>
      <c r="D93" s="27" t="s">
        <v>357</v>
      </c>
      <c r="E93" s="23"/>
      <c r="F93" s="24"/>
    </row>
    <row r="94" spans="1:6" ht="12.75">
      <c r="A94" s="25">
        <v>81</v>
      </c>
      <c r="B94" s="32" t="s">
        <v>435</v>
      </c>
      <c r="C94" s="25">
        <v>78</v>
      </c>
      <c r="D94" s="33" t="s">
        <v>358</v>
      </c>
      <c r="E94" s="23"/>
      <c r="F94" s="24"/>
    </row>
    <row r="95" spans="1:6" ht="12.75">
      <c r="A95" s="25">
        <v>82</v>
      </c>
      <c r="B95" s="32" t="s">
        <v>281</v>
      </c>
      <c r="C95" s="25">
        <v>79</v>
      </c>
      <c r="D95" s="33" t="s">
        <v>359</v>
      </c>
      <c r="E95" s="23"/>
      <c r="F95" s="24"/>
    </row>
    <row r="96" spans="1:6" ht="25.5">
      <c r="A96" s="25">
        <v>83</v>
      </c>
      <c r="B96" s="32" t="s">
        <v>282</v>
      </c>
      <c r="C96" s="25">
        <v>80</v>
      </c>
      <c r="D96" s="33" t="s">
        <v>360</v>
      </c>
      <c r="E96" s="23"/>
      <c r="F96" s="24"/>
    </row>
    <row r="97" spans="1:6" ht="12.75">
      <c r="A97" s="25">
        <v>84</v>
      </c>
      <c r="B97" s="32" t="s">
        <v>283</v>
      </c>
      <c r="C97" s="25">
        <v>81</v>
      </c>
      <c r="D97" s="33" t="s">
        <v>361</v>
      </c>
      <c r="E97" s="23"/>
      <c r="F97" s="24"/>
    </row>
    <row r="98" spans="1:6" ht="12.75">
      <c r="A98" s="25">
        <v>85</v>
      </c>
      <c r="B98" s="32" t="s">
        <v>284</v>
      </c>
      <c r="D98" s="33"/>
      <c r="E98" s="23"/>
      <c r="F98" s="24"/>
    </row>
    <row r="99" spans="1:6" ht="12.75">
      <c r="A99" s="25">
        <v>86</v>
      </c>
      <c r="B99" s="32" t="s">
        <v>285</v>
      </c>
      <c r="C99" s="25">
        <v>82</v>
      </c>
      <c r="D99" s="27" t="s">
        <v>159</v>
      </c>
      <c r="E99" s="23"/>
      <c r="F99" s="24"/>
    </row>
    <row r="100" spans="1:6" ht="12.75">
      <c r="A100" s="25">
        <v>87</v>
      </c>
      <c r="B100" s="32" t="s">
        <v>286</v>
      </c>
      <c r="C100" s="25">
        <v>83</v>
      </c>
      <c r="D100" s="33" t="s">
        <v>362</v>
      </c>
      <c r="E100" s="23"/>
      <c r="F100" s="24"/>
    </row>
    <row r="101" spans="1:6" ht="12.75">
      <c r="A101" s="25">
        <v>88</v>
      </c>
      <c r="B101" s="32" t="s">
        <v>287</v>
      </c>
      <c r="C101" s="25">
        <v>84</v>
      </c>
      <c r="D101" s="33" t="s">
        <v>363</v>
      </c>
      <c r="E101" s="23"/>
      <c r="F101" s="24"/>
    </row>
    <row r="102" spans="1:6" ht="25.5">
      <c r="A102" s="25">
        <v>89</v>
      </c>
      <c r="B102" s="32" t="s">
        <v>288</v>
      </c>
      <c r="C102" s="25">
        <v>85</v>
      </c>
      <c r="D102" s="33" t="s">
        <v>364</v>
      </c>
      <c r="E102" s="23"/>
      <c r="F102" s="24"/>
    </row>
    <row r="103" spans="1:6" ht="12.75">
      <c r="A103" s="25">
        <v>90</v>
      </c>
      <c r="B103" s="32" t="s">
        <v>289</v>
      </c>
      <c r="C103" s="25">
        <v>86</v>
      </c>
      <c r="D103" s="33" t="s">
        <v>365</v>
      </c>
      <c r="E103" s="23"/>
      <c r="F103" s="24"/>
    </row>
    <row r="104" spans="1:6" ht="12.75">
      <c r="A104" s="25">
        <v>91</v>
      </c>
      <c r="B104" s="32" t="s">
        <v>290</v>
      </c>
      <c r="C104" s="25">
        <v>87</v>
      </c>
      <c r="D104" s="29" t="s">
        <v>366</v>
      </c>
      <c r="E104" s="23"/>
      <c r="F104" s="24"/>
    </row>
    <row r="105" spans="1:6" ht="12.75">
      <c r="A105" s="25">
        <v>92</v>
      </c>
      <c r="B105" s="32" t="s">
        <v>291</v>
      </c>
      <c r="C105" s="25">
        <v>88</v>
      </c>
      <c r="D105" s="33" t="s">
        <v>367</v>
      </c>
      <c r="E105" s="23"/>
      <c r="F105" s="24"/>
    </row>
    <row r="106" spans="1:6" ht="12.75">
      <c r="A106" s="25">
        <v>93</v>
      </c>
      <c r="B106" s="32" t="s">
        <v>292</v>
      </c>
      <c r="C106" s="25">
        <v>89</v>
      </c>
      <c r="D106" s="33" t="s">
        <v>191</v>
      </c>
      <c r="E106" s="23"/>
      <c r="F106" s="24"/>
    </row>
    <row r="107" spans="1:6" ht="12.75">
      <c r="A107" s="25">
        <v>94</v>
      </c>
      <c r="B107" s="32" t="s">
        <v>293</v>
      </c>
      <c r="C107" s="25">
        <v>90</v>
      </c>
      <c r="D107" s="33" t="s">
        <v>160</v>
      </c>
      <c r="E107" s="23"/>
      <c r="F107" s="24"/>
    </row>
    <row r="108" spans="1:6" ht="12.75">
      <c r="A108" s="25">
        <v>95</v>
      </c>
      <c r="B108" s="32" t="s">
        <v>294</v>
      </c>
      <c r="C108" s="25">
        <v>91</v>
      </c>
      <c r="D108" s="33" t="s">
        <v>163</v>
      </c>
      <c r="E108" s="23"/>
      <c r="F108" s="24"/>
    </row>
    <row r="109" spans="1:6" ht="12.75">
      <c r="A109" s="25">
        <v>96</v>
      </c>
      <c r="B109" s="32" t="s">
        <v>295</v>
      </c>
      <c r="C109" s="25">
        <v>92</v>
      </c>
      <c r="D109" s="33" t="s">
        <v>368</v>
      </c>
      <c r="E109" s="23"/>
      <c r="F109" s="24"/>
    </row>
    <row r="110" spans="1:6" ht="12.75">
      <c r="A110" s="25">
        <v>97</v>
      </c>
      <c r="B110" s="32" t="s">
        <v>296</v>
      </c>
      <c r="C110" s="25">
        <v>93</v>
      </c>
      <c r="D110" s="33" t="s">
        <v>369</v>
      </c>
      <c r="E110" s="23"/>
      <c r="F110" s="24"/>
    </row>
    <row r="111" spans="1:6" ht="12.75">
      <c r="A111" s="25">
        <v>98</v>
      </c>
      <c r="B111" s="32" t="s">
        <v>297</v>
      </c>
      <c r="C111" s="25">
        <v>94</v>
      </c>
      <c r="D111" s="29" t="s">
        <v>195</v>
      </c>
      <c r="E111" s="23"/>
      <c r="F111" s="24"/>
    </row>
    <row r="112" spans="1:6" ht="12.75">
      <c r="A112" s="25">
        <v>99</v>
      </c>
      <c r="B112" s="32" t="s">
        <v>298</v>
      </c>
      <c r="C112" s="25">
        <v>95</v>
      </c>
      <c r="D112" s="29" t="s">
        <v>196</v>
      </c>
      <c r="E112" s="23"/>
      <c r="F112" s="24"/>
    </row>
    <row r="113" spans="1:6" ht="12.75">
      <c r="A113" s="25">
        <v>100</v>
      </c>
      <c r="B113" s="32" t="s">
        <v>299</v>
      </c>
      <c r="C113" s="25">
        <v>96</v>
      </c>
      <c r="D113" s="29" t="s">
        <v>208</v>
      </c>
      <c r="E113" s="23"/>
      <c r="F113" s="24"/>
    </row>
    <row r="114" spans="1:6" ht="12.75">
      <c r="A114" s="25">
        <v>101</v>
      </c>
      <c r="B114" s="32" t="s">
        <v>300</v>
      </c>
      <c r="C114" s="25">
        <v>97</v>
      </c>
      <c r="D114" s="29" t="s">
        <v>209</v>
      </c>
      <c r="E114" s="23"/>
      <c r="F114" s="24"/>
    </row>
    <row r="115" spans="1:6" ht="12.75">
      <c r="A115" s="25">
        <v>102</v>
      </c>
      <c r="B115" s="32" t="s">
        <v>436</v>
      </c>
      <c r="C115" s="25">
        <v>98</v>
      </c>
      <c r="D115" s="29" t="s">
        <v>210</v>
      </c>
      <c r="E115" s="23"/>
      <c r="F115" s="24"/>
    </row>
    <row r="116" spans="1:6" ht="12.75">
      <c r="A116" s="25">
        <v>103</v>
      </c>
      <c r="B116" s="32" t="s">
        <v>437</v>
      </c>
      <c r="C116" s="25">
        <v>99</v>
      </c>
      <c r="D116" s="29" t="s">
        <v>211</v>
      </c>
      <c r="E116" s="23"/>
      <c r="F116" s="24"/>
    </row>
    <row r="117" spans="1:6" ht="12.75">
      <c r="A117" s="25">
        <v>104</v>
      </c>
      <c r="B117" s="32" t="s">
        <v>438</v>
      </c>
      <c r="C117" s="25">
        <v>100</v>
      </c>
      <c r="D117" s="29" t="s">
        <v>212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409</v>
      </c>
      <c r="C119" s="25">
        <v>101</v>
      </c>
      <c r="D119" s="27" t="s">
        <v>180</v>
      </c>
      <c r="E119" s="23"/>
      <c r="F119" s="24"/>
    </row>
    <row r="120" spans="1:6" ht="12.75">
      <c r="A120" s="25"/>
      <c r="B120" s="30"/>
      <c r="C120" s="25">
        <v>102</v>
      </c>
      <c r="D120" s="29" t="s">
        <v>164</v>
      </c>
      <c r="E120" s="23"/>
      <c r="F120" s="24"/>
    </row>
    <row r="121" spans="1:6" ht="12.75">
      <c r="A121" s="25">
        <v>105</v>
      </c>
      <c r="B121" s="37" t="s">
        <v>380</v>
      </c>
      <c r="C121" s="25">
        <v>103</v>
      </c>
      <c r="D121" s="33" t="s">
        <v>165</v>
      </c>
      <c r="E121" s="23"/>
      <c r="F121" s="24"/>
    </row>
    <row r="122" spans="1:6" ht="12.75">
      <c r="A122" s="25">
        <v>106</v>
      </c>
      <c r="B122" s="37" t="s">
        <v>381</v>
      </c>
      <c r="C122" s="25">
        <v>104</v>
      </c>
      <c r="D122" s="33" t="s">
        <v>166</v>
      </c>
      <c r="E122" s="23"/>
      <c r="F122" s="24"/>
    </row>
    <row r="123" spans="1:6" ht="12.75">
      <c r="A123" s="25">
        <v>107</v>
      </c>
      <c r="B123" s="37" t="s">
        <v>382</v>
      </c>
      <c r="C123" s="25">
        <v>105</v>
      </c>
      <c r="D123" s="29" t="s">
        <v>167</v>
      </c>
      <c r="E123" s="23"/>
      <c r="F123" s="24"/>
    </row>
    <row r="124" spans="1:6" ht="12.75">
      <c r="A124" s="25">
        <v>108</v>
      </c>
      <c r="B124" s="37" t="s">
        <v>383</v>
      </c>
      <c r="C124" s="25">
        <v>106</v>
      </c>
      <c r="D124" s="33" t="s">
        <v>168</v>
      </c>
      <c r="E124" s="23"/>
      <c r="F124" s="24"/>
    </row>
    <row r="125" spans="1:6" ht="12.75">
      <c r="A125" s="25">
        <v>109</v>
      </c>
      <c r="B125" s="37" t="s">
        <v>384</v>
      </c>
      <c r="C125" s="25">
        <v>107</v>
      </c>
      <c r="D125" s="33" t="s">
        <v>169</v>
      </c>
      <c r="E125" s="23"/>
      <c r="F125" s="24"/>
    </row>
    <row r="126" spans="1:6" ht="12.75">
      <c r="A126" s="25">
        <v>110</v>
      </c>
      <c r="B126" s="37" t="s">
        <v>385</v>
      </c>
      <c r="C126" s="25">
        <v>108</v>
      </c>
      <c r="D126" s="33" t="s">
        <v>170</v>
      </c>
      <c r="E126" s="23"/>
      <c r="F126" s="24"/>
    </row>
    <row r="127" spans="1:6" ht="12.75">
      <c r="A127" s="25">
        <v>111</v>
      </c>
      <c r="B127" s="37" t="s">
        <v>386</v>
      </c>
      <c r="C127" s="25">
        <v>109</v>
      </c>
      <c r="D127" s="33" t="s">
        <v>171</v>
      </c>
      <c r="E127" s="23"/>
      <c r="F127" s="24"/>
    </row>
    <row r="128" spans="1:6" ht="12.75" customHeight="1">
      <c r="A128" s="25">
        <v>112</v>
      </c>
      <c r="B128" s="37" t="s">
        <v>387</v>
      </c>
      <c r="C128" s="25">
        <v>110</v>
      </c>
      <c r="D128" s="33" t="s">
        <v>172</v>
      </c>
      <c r="E128" s="23"/>
      <c r="F128" s="24"/>
    </row>
    <row r="129" spans="1:6" ht="12.75">
      <c r="A129" s="25">
        <v>113</v>
      </c>
      <c r="B129" s="37" t="s">
        <v>388</v>
      </c>
      <c r="C129" s="25">
        <v>111</v>
      </c>
      <c r="D129" s="33" t="s">
        <v>173</v>
      </c>
      <c r="E129" s="23"/>
      <c r="F129" s="24"/>
    </row>
    <row r="130" spans="1:6" ht="12.75">
      <c r="A130" s="25">
        <v>114</v>
      </c>
      <c r="B130" s="37" t="s">
        <v>389</v>
      </c>
      <c r="C130" s="25">
        <v>112</v>
      </c>
      <c r="D130" s="29" t="s">
        <v>174</v>
      </c>
      <c r="E130" s="23"/>
      <c r="F130" s="24"/>
    </row>
    <row r="131" spans="1:6" ht="12.75">
      <c r="A131" s="25">
        <v>115</v>
      </c>
      <c r="B131" s="37" t="s">
        <v>390</v>
      </c>
      <c r="C131" s="25">
        <v>113</v>
      </c>
      <c r="D131" s="33" t="s">
        <v>175</v>
      </c>
      <c r="E131" s="23"/>
      <c r="F131" s="24"/>
    </row>
    <row r="132" spans="1:6" ht="12.75">
      <c r="A132" s="25">
        <v>116</v>
      </c>
      <c r="B132" s="37" t="s">
        <v>391</v>
      </c>
      <c r="C132" s="25">
        <v>114</v>
      </c>
      <c r="D132" s="33" t="s">
        <v>176</v>
      </c>
      <c r="E132" s="23"/>
      <c r="F132" s="24"/>
    </row>
    <row r="133" spans="1:6" ht="12.75">
      <c r="A133" s="25">
        <v>117</v>
      </c>
      <c r="B133" s="37" t="s">
        <v>392</v>
      </c>
      <c r="C133" s="25">
        <v>115</v>
      </c>
      <c r="D133" s="33" t="s">
        <v>177</v>
      </c>
      <c r="E133" s="23"/>
      <c r="F133" s="24"/>
    </row>
    <row r="134" spans="1:6" ht="12.75">
      <c r="A134" s="25">
        <v>118</v>
      </c>
      <c r="B134" s="32" t="s">
        <v>393</v>
      </c>
      <c r="C134" s="25">
        <v>116</v>
      </c>
      <c r="D134" s="33" t="s">
        <v>178</v>
      </c>
      <c r="E134" s="23"/>
      <c r="F134" s="24"/>
    </row>
    <row r="135" spans="1:6" ht="25.5">
      <c r="A135" s="35"/>
      <c r="B135" s="36"/>
      <c r="C135" s="25">
        <v>117</v>
      </c>
      <c r="D135" s="33" t="s">
        <v>179</v>
      </c>
      <c r="E135" s="23"/>
      <c r="F135" s="24"/>
    </row>
    <row r="136" spans="1:6" ht="12.75">
      <c r="A136" s="35"/>
      <c r="B136" s="38" t="s">
        <v>410</v>
      </c>
      <c r="C136" s="25">
        <v>118</v>
      </c>
      <c r="D136" s="29" t="s">
        <v>197</v>
      </c>
      <c r="E136" s="23"/>
      <c r="F136" s="24"/>
    </row>
    <row r="137" spans="1:6" ht="12.75">
      <c r="A137" s="35"/>
      <c r="B137" s="36"/>
      <c r="C137" s="25">
        <v>119</v>
      </c>
      <c r="D137" s="29" t="s">
        <v>198</v>
      </c>
      <c r="E137" s="23"/>
      <c r="F137" s="24"/>
    </row>
    <row r="138" spans="1:6" ht="12.75">
      <c r="A138" s="25">
        <v>119</v>
      </c>
      <c r="B138" s="36" t="s">
        <v>411</v>
      </c>
      <c r="C138" s="25">
        <v>120</v>
      </c>
      <c r="D138" s="29" t="s">
        <v>199</v>
      </c>
      <c r="E138" s="23"/>
      <c r="F138" s="24"/>
    </row>
    <row r="139" spans="1:6" ht="12.75">
      <c r="A139" s="25">
        <v>120</v>
      </c>
      <c r="B139" s="30" t="s">
        <v>301</v>
      </c>
      <c r="C139" s="25">
        <v>121</v>
      </c>
      <c r="D139" s="29" t="s">
        <v>200</v>
      </c>
      <c r="E139" s="23"/>
      <c r="F139" s="24"/>
    </row>
    <row r="140" spans="1:6" ht="12.75">
      <c r="A140" s="25">
        <v>121</v>
      </c>
      <c r="B140" s="30" t="s">
        <v>302</v>
      </c>
      <c r="C140" s="25">
        <v>122</v>
      </c>
      <c r="D140" s="29" t="s">
        <v>213</v>
      </c>
      <c r="E140" s="23"/>
      <c r="F140" s="24"/>
    </row>
    <row r="141" spans="1:6" ht="12.75">
      <c r="A141" s="25">
        <v>122</v>
      </c>
      <c r="B141" s="30" t="s">
        <v>303</v>
      </c>
      <c r="C141" s="25">
        <v>123</v>
      </c>
      <c r="D141" s="29" t="s">
        <v>214</v>
      </c>
      <c r="E141" s="23"/>
      <c r="F141" s="24"/>
    </row>
    <row r="142" spans="1:6" ht="12.75">
      <c r="A142" s="25">
        <v>123</v>
      </c>
      <c r="B142" s="32" t="s">
        <v>304</v>
      </c>
      <c r="C142" s="25">
        <v>124</v>
      </c>
      <c r="D142" s="29" t="s">
        <v>215</v>
      </c>
      <c r="E142" s="23"/>
      <c r="F142" s="24"/>
    </row>
    <row r="143" spans="1:6" ht="12.75">
      <c r="A143" s="25">
        <v>124</v>
      </c>
      <c r="B143" s="32" t="s">
        <v>305</v>
      </c>
      <c r="C143" s="25">
        <v>125</v>
      </c>
      <c r="D143" s="29" t="s">
        <v>216</v>
      </c>
      <c r="E143" s="23"/>
      <c r="F143" s="24"/>
    </row>
    <row r="144" spans="1:6" ht="12.75">
      <c r="A144" s="25">
        <v>125</v>
      </c>
      <c r="B144" s="32" t="s">
        <v>306</v>
      </c>
      <c r="C144" s="25">
        <v>126</v>
      </c>
      <c r="D144" s="29" t="s">
        <v>217</v>
      </c>
      <c r="E144" s="23"/>
      <c r="F144" s="24"/>
    </row>
    <row r="145" spans="1:6" ht="12.75">
      <c r="A145" s="25">
        <v>126</v>
      </c>
      <c r="B145" s="32" t="s">
        <v>307</v>
      </c>
      <c r="C145" s="25">
        <v>127</v>
      </c>
      <c r="D145" s="29" t="s">
        <v>218</v>
      </c>
      <c r="E145" s="23"/>
      <c r="F145" s="24"/>
    </row>
    <row r="146" spans="1:6" ht="12.75">
      <c r="A146" s="25">
        <v>127</v>
      </c>
      <c r="B146" s="32" t="s">
        <v>308</v>
      </c>
      <c r="C146" s="25">
        <v>128</v>
      </c>
      <c r="D146" s="29" t="s">
        <v>219</v>
      </c>
      <c r="E146" s="23"/>
      <c r="F146" s="24"/>
    </row>
    <row r="147" spans="1:6" ht="12.75">
      <c r="A147" s="25">
        <v>128</v>
      </c>
      <c r="B147" s="32" t="s">
        <v>309</v>
      </c>
      <c r="C147" s="25">
        <v>129</v>
      </c>
      <c r="D147" s="29" t="s">
        <v>220</v>
      </c>
      <c r="E147" s="23"/>
      <c r="F147" s="24"/>
    </row>
    <row r="148" spans="1:6" ht="12.75">
      <c r="A148" s="25">
        <v>129</v>
      </c>
      <c r="B148" s="32" t="s">
        <v>310</v>
      </c>
      <c r="C148" s="25">
        <v>130</v>
      </c>
      <c r="D148" s="29" t="s">
        <v>221</v>
      </c>
      <c r="E148" s="23"/>
      <c r="F148" s="24"/>
    </row>
    <row r="149" spans="1:6" ht="12.75">
      <c r="A149" s="25">
        <v>130</v>
      </c>
      <c r="B149" s="30" t="s">
        <v>311</v>
      </c>
      <c r="C149" s="25">
        <v>131</v>
      </c>
      <c r="D149" s="29" t="s">
        <v>222</v>
      </c>
      <c r="E149" s="23"/>
      <c r="F149" s="24"/>
    </row>
    <row r="150" spans="1:6" ht="12.75">
      <c r="A150" s="25">
        <v>131</v>
      </c>
      <c r="B150" s="30" t="s">
        <v>312</v>
      </c>
      <c r="C150" s="25">
        <v>132</v>
      </c>
      <c r="D150" s="29" t="s">
        <v>223</v>
      </c>
      <c r="E150" s="23"/>
      <c r="F150" s="24"/>
    </row>
    <row r="151" spans="1:6" ht="12.75">
      <c r="A151" s="25">
        <v>132</v>
      </c>
      <c r="B151" s="30" t="s">
        <v>313</v>
      </c>
      <c r="C151" s="25">
        <v>133</v>
      </c>
      <c r="D151" s="29" t="s">
        <v>224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181</v>
      </c>
      <c r="E153" s="23"/>
      <c r="F153" s="24"/>
    </row>
    <row r="154" spans="1:6" ht="25.5">
      <c r="A154" s="35"/>
      <c r="C154" s="25">
        <v>135</v>
      </c>
      <c r="D154" s="33" t="s">
        <v>182</v>
      </c>
      <c r="E154" s="23"/>
      <c r="F154" s="24"/>
    </row>
    <row r="155" spans="1:6" ht="12.75">
      <c r="A155" s="35"/>
      <c r="B155" s="36"/>
      <c r="C155" s="25">
        <v>136</v>
      </c>
      <c r="D155" s="33" t="s">
        <v>184</v>
      </c>
      <c r="E155" s="23"/>
      <c r="F155" s="24"/>
    </row>
    <row r="156" spans="1:6" ht="12.75">
      <c r="A156" s="35"/>
      <c r="B156" s="36"/>
      <c r="C156" s="25">
        <v>137</v>
      </c>
      <c r="D156" s="33" t="s">
        <v>183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370</v>
      </c>
      <c r="E158" s="23"/>
      <c r="F158" s="24"/>
    </row>
    <row r="159" spans="1:6" ht="12.75">
      <c r="A159" s="35"/>
      <c r="B159" s="36"/>
      <c r="C159" s="25">
        <v>140</v>
      </c>
      <c r="D159" s="33" t="s">
        <v>371</v>
      </c>
      <c r="E159" s="23"/>
      <c r="F159" s="24"/>
    </row>
    <row r="160" spans="1:6" ht="12.75">
      <c r="A160" s="35"/>
      <c r="B160" s="36"/>
      <c r="C160" s="25">
        <v>141</v>
      </c>
      <c r="D160" s="33" t="s">
        <v>372</v>
      </c>
      <c r="E160" s="23"/>
      <c r="F160" s="24"/>
    </row>
    <row r="161" spans="1:6" ht="12.75">
      <c r="A161" s="35"/>
      <c r="B161" s="36"/>
      <c r="C161" s="25">
        <v>142</v>
      </c>
      <c r="D161" s="33" t="s">
        <v>373</v>
      </c>
      <c r="E161" s="23"/>
      <c r="F161" s="24"/>
    </row>
    <row r="162" spans="1:6" ht="12.75">
      <c r="A162" s="35"/>
      <c r="B162" s="36"/>
      <c r="C162" s="25">
        <v>143</v>
      </c>
      <c r="D162" s="33" t="s">
        <v>374</v>
      </c>
      <c r="E162" s="23"/>
      <c r="F162" s="24"/>
    </row>
    <row r="163" spans="1:6" ht="12.75">
      <c r="A163" s="35"/>
      <c r="B163" s="36"/>
      <c r="C163" s="25">
        <v>144</v>
      </c>
      <c r="D163" s="33" t="s">
        <v>375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Власкина Юлия Викторовна</cp:lastModifiedBy>
  <cp:lastPrinted>2015-03-16T08:52:40Z</cp:lastPrinted>
  <dcterms:created xsi:type="dcterms:W3CDTF">2003-01-28T12:33:10Z</dcterms:created>
  <dcterms:modified xsi:type="dcterms:W3CDTF">2015-06-03T07:59:15Z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