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------------------------------------------
&lt;Примечание&gt;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93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93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48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48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48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48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ценах&gt;
&lt;ЗПМ по позиции на единицу в базисных ценах&gt;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ценах&gt;&lt;Оборудование на единицу в базисных ценах&gt;
&lt;Формула базисной цены единицы&gt;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48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48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</commentList>
</comments>
</file>

<file path=xl/sharedStrings.xml><?xml version="1.0" encoding="utf-8"?>
<sst xmlns="http://schemas.openxmlformats.org/spreadsheetml/2006/main" count="785" uniqueCount="678">
  <si>
    <t xml:space="preserve">Дверь противопожарная металлическая однопольная ДПМ-01/60, размером 900х2100 мм, шт.
 </t>
  </si>
  <si>
    <t xml:space="preserve">2679,27 
 </t>
  </si>
  <si>
    <t>Дверь противопожарная металлическая однопольная ДПМ-01/60, размером 900х2100 мм; МАТ=4,002</t>
  </si>
  <si>
    <t xml:space="preserve">                                   Устройство проемов для противопожарных люков</t>
  </si>
  <si>
    <t>ФЕРр56-23-1
-------------------------
Приказ Минстроя РФ от 30.01.14 №31/пр</t>
  </si>
  <si>
    <t xml:space="preserve">Обрамление проемов угловой сталью, 1 т
НР 70%=82%*0,85 от ФОТ
СП 50%=62%*0,8 от ФОТ
 </t>
  </si>
  <si>
    <t>0,5148
514,8/1000</t>
  </si>
  <si>
    <t>6729,28
394,68</t>
  </si>
  <si>
    <t>24,08
5,13</t>
  </si>
  <si>
    <t xml:space="preserve">6310,52 
 </t>
  </si>
  <si>
    <t>81.51 Обрамление проемов угловой сталью: ОЗП=16,08; ЭМ=8,75; ЗПМ=16,08; МАТ=7,31</t>
  </si>
  <si>
    <t>108
42</t>
  </si>
  <si>
    <t>44
0,38</t>
  </si>
  <si>
    <t>22,65
0,2</t>
  </si>
  <si>
    <t xml:space="preserve">                                   Монтаж противопожарного люка (лист №27)</t>
  </si>
  <si>
    <t>ФЕР20-02-017-07
-------------------------
Приказ Минстроя РФ от 30.01.14 №31/пр</t>
  </si>
  <si>
    <t xml:space="preserve">Установка люков герметических, 1 шт.
НР 98%=128%*(0,85*0,9) от ФОТ
СП 56%=83%*(0,8*0,85) от ФОТ
 </t>
  </si>
  <si>
    <t>43,21
12,86</t>
  </si>
  <si>
    <t xml:space="preserve">22,25 
 </t>
  </si>
  <si>
    <t>20.38 Установка люков герметических: ОЗП=16,08; ЭМ=7,63; ЗПМ=16,08; МАТ=5,78</t>
  </si>
  <si>
    <t>ФССЦ-110-0347
-------------------------
Приказ Минстроя РФ от 30.01.14 №31/пр</t>
  </si>
  <si>
    <t xml:space="preserve">Люки герметические, шт.
 </t>
  </si>
  <si>
    <t xml:space="preserve">62,58 
 </t>
  </si>
  <si>
    <t>Люки герметические; МАТ=33,877</t>
  </si>
  <si>
    <t xml:space="preserve">                           Раздел 7. Антенны</t>
  </si>
  <si>
    <t>ФЕРм10-05-001-04
-------------------------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</si>
  <si>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78%=92%*0,85 от ФОТ
СП 52%=65%*0,8 от ФОТ
 </t>
  </si>
  <si>
    <t>251,26
246,33</t>
  </si>
  <si>
    <t xml:space="preserve">4,93 
 </t>
  </si>
  <si>
    <t>56.204 Настройка крупных систем коллективного приёма телевидения (КСКПТ): ОЗП=16,08; МАТ=5,16</t>
  </si>
  <si>
    <t xml:space="preserve">                           Раздел 8. Водосточные трубы</t>
  </si>
  <si>
    <t>ФЕРр58-15-2
-------------------------
Приказ Минстроя РФ от 30.01.14 №31/пр</t>
  </si>
  <si>
    <t xml:space="preserve">Перенавеска водосточных труб: с люлек, 100 м труб
НР 71%=83%*0,85 от ФОТ
СП 52%=65%*0,8 от ФОТ
 </t>
  </si>
  <si>
    <t>2,25
225/100</t>
  </si>
  <si>
    <t>947,19
939,17</t>
  </si>
  <si>
    <t xml:space="preserve">8,02 
 </t>
  </si>
  <si>
    <t>83.42 Перенавеска водосточных труб: ОЗП=16,08; МАТ=3,37</t>
  </si>
  <si>
    <t>ФССЦ-201-1101
-------------------------
Приказ Минстроя РФ от 30.01.14 №31/пр</t>
  </si>
  <si>
    <t xml:space="preserve">Звенья водосточных труб из оцинкованной стали толщиной 0,55 мм, диаметром 140 мм, марка ТВ-140, м
 </t>
  </si>
  <si>
    <t xml:space="preserve">56,5 
 </t>
  </si>
  <si>
    <t>Звенья водосточных труб из оцинкованной стали толщиной 0,55 мм, диа­метром 140 мм, марка ТВ-140; МАТ=2,666</t>
  </si>
  <si>
    <t>ФССЦ-201-1102
-------------------------
Приказ Минстроя РФ от 30.01.14 №31/пр</t>
  </si>
  <si>
    <t xml:space="preserve">Колено из оцинкованной стали толщиной 0,55 мм, диаметром 140 мм, марка ТВ-140, шт.
 </t>
  </si>
  <si>
    <t xml:space="preserve">34,8 
 </t>
  </si>
  <si>
    <t>Колено из оцинкованной стали толщиной 0,55 мм, диаметром 140 мм, марка ТВ-140; МАТ=4,799</t>
  </si>
  <si>
    <t>ФССЦ-301-1104
-------------------------
Приказ Минстроя РФ от 30.01.14 №31/пр</t>
  </si>
  <si>
    <t xml:space="preserve">Воронка водосточная из оцинкованной стали толщиной 0,55 диаметром 215 мм, шт.
 </t>
  </si>
  <si>
    <t xml:space="preserve">67,8 
 </t>
  </si>
  <si>
    <t>Воронка водосточная из оцинкованной стали толщиной 0,55 диаметром 215 мм; МАТ=2,986</t>
  </si>
  <si>
    <t>ФССЦ-101-1716
-------------------------
Приказ Минстроя РФ от 30.01.14 №31/пр</t>
  </si>
  <si>
    <t xml:space="preserve">Детали крепления массой до 0,001т, т
 </t>
  </si>
  <si>
    <t xml:space="preserve">10100 
 </t>
  </si>
  <si>
    <t>Детали крепления массой до 0,001т; МАТ=2,257</t>
  </si>
  <si>
    <t>Итого прямые затраты по смете в текущих ценах</t>
  </si>
  <si>
    <t>284327
39990</t>
  </si>
  <si>
    <t>6049,81
204,85</t>
  </si>
  <si>
    <t>Итого прямые затраты по смете с учетом коэффициентов к итогам</t>
  </si>
  <si>
    <t>301985
42088</t>
  </si>
  <si>
    <t>6584,89
214,6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</si>
  <si>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</si>
  <si>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17, 79, 14-16, 37, 48, 52, 58, 30, 34, 45, 75-76, 94, 49, 72, 82, 85, 88-89)</t>
  </si>
  <si>
    <t>17658
2097</t>
  </si>
  <si>
    <t>535,071
9,7375</t>
  </si>
  <si>
    <t>Накладные расходы</t>
  </si>
  <si>
    <t xml:space="preserve">  70% =  82%*0,85 ФОТ (от 3309)  (Поз. 99)</t>
  </si>
  <si>
    <t xml:space="preserve">  71% =  83%*0,85 ФОТ (от 84756)  (Поз. 3, 31-32, 69, 103)</t>
  </si>
  <si>
    <t xml:space="preserve">  69% =  90%*(0,85*0,9) ФОТ (от 32645)  (Поз. 26-27, 43-44, 59, 46, 64, 90, 92, 96)</t>
  </si>
  <si>
    <t xml:space="preserve">  78% =  92%*0,85 ФОТ (от 23766)  (Поз. 102)</t>
  </si>
  <si>
    <t xml:space="preserve">  77% =  100%*(0,85*0,9) ФОТ (от 64626)  (Поз. 49, 72, 82, 85, 88-89)</t>
  </si>
  <si>
    <t xml:space="preserve">  84% =  110%*(0,85*0,9) ФОТ (от 95025)  (Поз. 1-2, 4-5, 8-10, 20)</t>
  </si>
  <si>
    <t xml:space="preserve">  90% =  118%*(0,85*0,9) ФОТ (от 349036)  (Поз. 30, 33-34, 38, 45, 75-76, 94)</t>
  </si>
  <si>
    <t xml:space="preserve">  92% =  120%*(0,85*0,9) ФОТ (от 179905)  (Поз. 15-16, 37, 39, 48, 52, 58, 60)</t>
  </si>
  <si>
    <t xml:space="preserve">  93% =  122%*(0,85*0,9) ФОТ (от 13000)  (Поз. 14)</t>
  </si>
  <si>
    <t xml:space="preserve">  98% =  128%*(0,85*0,9) ФОТ (от 19569)  (Поз. 6, 77, 81, 100)</t>
  </si>
  <si>
    <t xml:space="preserve">  119% =  155%*(0,85*0,9) ФОТ (от 92597)  (Поз. 7, 17, 79)</t>
  </si>
  <si>
    <t>Сметная прибыль</t>
  </si>
  <si>
    <t xml:space="preserve">  50% =  62%*0,8 ФОТ (от 3309)  (Поз. 99)</t>
  </si>
  <si>
    <t xml:space="preserve">  43% =  63%*(0,8*0,85) ФОТ (от 349036)  (Поз. 30, 33-34, 38, 45, 75-76, 94)</t>
  </si>
  <si>
    <t xml:space="preserve">  44% =  65%*(0,8*0,85) ФОТ (от 179905)  (Поз. 15-16, 37, 39, 48, 52, 58, 60)</t>
  </si>
  <si>
    <t xml:space="preserve">  52% =  65%*0,8 ФОТ (от 108522)  (Поз. 3, 31-32, 69, 103, 102)</t>
  </si>
  <si>
    <t xml:space="preserve">  48% =  70%*(0,8*0,85) ФОТ (от 164672)  (Поз. 1-2, 4-5, 8-10, 20, 26-27, 43-44, 59, 49, 72, 82, 85, 88-89)</t>
  </si>
  <si>
    <t xml:space="preserve">  54% =  80%*(0,8*0,85) ФОТ (от 13000)  (Поз. 14)</t>
  </si>
  <si>
    <t xml:space="preserve">  56% =  83%*(0,8*0,85) ФОТ (от 19569)  (Поз. 6, 77, 81, 100)</t>
  </si>
  <si>
    <t xml:space="preserve">  58% =  85%*(0,8*0,85) ФОТ (от 27624)  (Поз. 46, 64, 90, 92, 96)</t>
  </si>
  <si>
    <t xml:space="preserve">  68% =  100%*(0,8*0,85) ФОТ (от 92597)  (Поз. 7, 17, 79)</t>
  </si>
  <si>
    <t>Итоги по смете:</t>
  </si>
  <si>
    <t xml:space="preserve">  Итого Строительные работы</t>
  </si>
  <si>
    <t>6442,09
214,6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</si>
  <si>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</si>
  <si>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</si>
  <si>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</si>
  <si>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</si>
  <si>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</si>
  <si>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</si>
  <si>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</si>
  <si>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</si>
  <si>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</si>
  <si>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Капитальный ремонт многоквартирного дома по адресу г.Томск ул.Алтайская 93</t>
  </si>
  <si>
    <t>Основание:   13-14/13-КР</t>
  </si>
  <si>
    <t>Составлен(а) в текущих ценах по состоянию на 1 кв. 2015 года</t>
  </si>
  <si>
    <t>ЛОКАЛЬНЫЙ СМЕТНЫЙ РАСЧЕТ №  02-01-01</t>
  </si>
  <si>
    <t>Общестроительные работы</t>
  </si>
  <si>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</si>
  <si>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</si>
  <si>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</si>
  <si>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</si>
  <si>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</si>
  <si>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</si>
  <si>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</si>
  <si>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</si>
  <si>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</si>
  <si>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</si>
  <si>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</si>
  <si>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</si>
  <si>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</si>
  <si>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</si>
  <si>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</si>
  <si>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</si>
  <si>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</si>
  <si>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</si>
  <si>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</si>
  <si>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</si>
  <si>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</si>
  <si>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</si>
  <si>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</si>
  <si>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</si>
  <si>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>материалы (оборуд.)</t>
  </si>
  <si>
    <t>Проверил:____________________________</t>
  </si>
  <si>
    <t xml:space="preserve">                           Раздел 1. Демонтажные работы</t>
  </si>
  <si>
    <t>ФЕР46-04-001-04
-------------------------
Приказ Минстроя РФ от 30.01.14 №31/пр</t>
  </si>
  <si>
    <t xml:space="preserve">Разборка: кирпичных стен, 1 м3
НР 84%=110%*(0,85*0,9) от ФОТ
СП 48%=70%*(0,8*0,85) от ФОТ
 </t>
  </si>
  <si>
    <t>180,03
73,01</t>
  </si>
  <si>
    <t>107,02
11,57</t>
  </si>
  <si>
    <t xml:space="preserve"> 
 </t>
  </si>
  <si>
    <t>45.57 Разборка: кирпичных и мелкоблочных стен: ОЗП=16,08; ЭМ=7,68; ЗПМ=16,08</t>
  </si>
  <si>
    <t>427
97</t>
  </si>
  <si>
    <t>8,24
1,15</t>
  </si>
  <si>
    <t>4,28
0,6</t>
  </si>
  <si>
    <t>ФЕР46-04-008-02
-------------------------
Приказ Минстроя РФ от 30.01.14 №31/пр</t>
  </si>
  <si>
    <t xml:space="preserve">Разборка покрытий кровель: из листовой стали, 100 м2 покрытия
НР 84%=110%*(0,85*0,9) от ФОТ
СП 48%=70%*(0,8*0,85) от ФОТ
 </t>
  </si>
  <si>
    <t>0,0768
7,68/100</t>
  </si>
  <si>
    <t>79,44
66,92</t>
  </si>
  <si>
    <t>45.68 Разборка покрытий кровель: ОЗП=16,08; ЭМ=3,01; ЗПМ=16,08</t>
  </si>
  <si>
    <t>ФЕРр58-1-1
-------------------------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</si>
  <si>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71%=83%*0,85 от ФОТ
СП 52%=65%*0,8 от ФОТ
 </t>
  </si>
  <si>
    <t>0,0616
6,16/100</t>
  </si>
  <si>
    <t>160,11
120,37</t>
  </si>
  <si>
    <t>39,74
6,21</t>
  </si>
  <si>
    <t>83.1 Разборка деревянных элементов конструкций крыш: ОЗП=16,08; ЭМ=11,57; ЗПМ=16,08</t>
  </si>
  <si>
    <t>28
6</t>
  </si>
  <si>
    <t>15,16
0,46</t>
  </si>
  <si>
    <t>0,93
0,03</t>
  </si>
  <si>
    <t>ФЕР46-04-012-03
-------------------------
Приказ Минстроя РФ от 30.01.14 №31/пр</t>
  </si>
  <si>
    <t xml:space="preserve">Разборка деревянных заполнений проемов: дверных и воротных, 100 м2
НР 84%=110%*(0,85*0,9) от ФОТ
СП 48%=70%*(0,8*0,85) от ФОТ
 </t>
  </si>
  <si>
    <t>0,0404
4,04/100</t>
  </si>
  <si>
    <t>1082,58
840,63</t>
  </si>
  <si>
    <t>241,95
104,49</t>
  </si>
  <si>
    <t>45.80 Разборка деревянных заполнений проемов: ОЗП=16,08; ЭМ=8,66; ЗПМ=16,08</t>
  </si>
  <si>
    <t>85
68</t>
  </si>
  <si>
    <t>103,91
7,74</t>
  </si>
  <si>
    <t>4,2
0,31</t>
  </si>
  <si>
    <t>ФЕР46-04-008-01
-------------------------
Приказ Минстроя РФ от 30.01.14 №31/пр</t>
  </si>
  <si>
    <t xml:space="preserve">Разборка покрытий кровель: из рулонных материалов, 100 м2 покрытия
НР 84%=110%*(0,85*0,9) от ФОТ
СП 48%=70%*(0,8*0,85) от ФОТ
 </t>
  </si>
  <si>
    <t>10,3652
1036,52/100</t>
  </si>
  <si>
    <t>153,59
112,16</t>
  </si>
  <si>
    <t>ФЕР20-02-010-05
-------------------------
Приказ Минстроя РФ от 30.01.14 №31/пр</t>
  </si>
  <si>
    <t xml:space="preserve">(Демонтаж)Установка зонтов над шахтами из листовой стали прямоугольного сечения периметром : 2600 мм, 1 зонт
(Демонтаж ПЗ=0,4 (ОЗП=0,4; ЭМ=0,4 к расх.; ЗПМ=0,4; МАТ=0 к расх.; ТЗ=0,4; ТЗМ=0,4))
НР 98%=128%*(0,85*0,9) от ФОТ
СП 56%=83%*(0,8*0,85) от ФОТ
 </t>
  </si>
  <si>
    <t>30,82
20,11</t>
  </si>
  <si>
    <t xml:space="preserve">6,33 
 </t>
  </si>
  <si>
    <t>20.25 Установка зонтов над шахтами из листовой и оцинкованной стали: ОЗП=16,08; ЭМ=6,83; ЗПМ=16,08; МАТ=5,87</t>
  </si>
  <si>
    <t>ФЕР07-05-011-05
-------------------------
Приказ Минстроя РФ от 30.01.14 №31/пр</t>
  </si>
  <si>
    <t xml:space="preserve">(Демонтаж)Установка панелей перекрытий с опиранием: на 2 стороны площадью до 5 м2, 100 шт. сборных конструкций
(демонтаж ПЗ=0,8 (ОЗП=0,8; ЭМ=0,8 к расх.; ЗПМ=0,8; МАТ=0,8 к расх.; ТЗ=0,8; ТЗМ=0,8))
НР 119%=155%*(0,85*0,9) от ФОТ
СП 68%=100%*(0,8*0,85) от ФОТ
 </t>
  </si>
  <si>
    <t>2,8
280/100</t>
  </si>
  <si>
    <t>7684,92
1923,59</t>
  </si>
  <si>
    <t>2448,52
352,49</t>
  </si>
  <si>
    <t xml:space="preserve">3312,81 
 </t>
  </si>
  <si>
    <t>7.61. Установка панелей перекрытий: ОЗП=16,08; ЭМ=11,31; ЗПМ=16,08; МАТ=4,91</t>
  </si>
  <si>
    <t>62032
12696</t>
  </si>
  <si>
    <t>165,65
20,89</t>
  </si>
  <si>
    <t>463,82
58,49</t>
  </si>
  <si>
    <t>ФЕР46-04-003-08
-------------------------
Приказ Минстроя РФ от 30.01.14 №31/пр</t>
  </si>
  <si>
    <t xml:space="preserve">Разборка железобетонных конструкций объемом более 1 м3 при помощи отбойных молотков из бетона марки: 200, 1 м3
НР 84%=110%*(0,85*0,9) от ФОТ
СП 48%=70%*(0,8*0,85) от ФОТ
 </t>
  </si>
  <si>
    <t>1800,09
295,99</t>
  </si>
  <si>
    <t>1481,65
159,85</t>
  </si>
  <si>
    <t xml:space="preserve">22,45 
 </t>
  </si>
  <si>
    <t>45.61 Разборка железобетонных конструкций объемом более 1 м3 при помощи отбойных молотков: ОЗП=16,08; ЭМ=7,7; ЗПМ=16,08; МАТ=4,36</t>
  </si>
  <si>
    <t>24643
5552</t>
  </si>
  <si>
    <t>34,7
15,89</t>
  </si>
  <si>
    <t>74,95
34,32</t>
  </si>
  <si>
    <t>ФЕР46-04-003-01
-------------------------
Приказ Минстроя РФ от 30.01.14 №31/пр</t>
  </si>
  <si>
    <t xml:space="preserve">Разборка бетонных конструкций объемом более 1 м3 при помощи отбойных молотков из бетона марки: 100, 1 м3
НР 84%=110%*(0,85*0,9) от ФОТ
СП 48%=70%*(0,8*0,85) от ФОТ
 </t>
  </si>
  <si>
    <t>502,19
82,49</t>
  </si>
  <si>
    <t>419,7
45,37</t>
  </si>
  <si>
    <t>45.60 Разборка бетонных конструкций объемом более 1 м3 при помощи отбойных молотков: ОЗП=16,08; ЭМ=7,68; ЗПМ=16,08</t>
  </si>
  <si>
    <t>32265
7303</t>
  </si>
  <si>
    <t>9,67
4,51</t>
  </si>
  <si>
    <t>96,8
45,15</t>
  </si>
  <si>
    <t>2,547
(240,95+13,75)/100</t>
  </si>
  <si>
    <t>ФССЦпг01-01-01-041
-------------------------
Приказ Минстроя РФ от 30.01.14 №31/пр</t>
  </si>
  <si>
    <t xml:space="preserve">Погрузочные работы при автомобильных перевозках: мусора строительного с погрузкой вручную, 1 т груза
НР 0% от ФОТ
СП 0% от ФОТ
 </t>
  </si>
  <si>
    <t>42,98
42,98</t>
  </si>
  <si>
    <t>Мусор строительный, вручную: погрузка; ЭМ=10,32</t>
  </si>
  <si>
    <t>ФССЦпг01-01-01-043
-------------------------
Приказ Минстроя РФ от 30.01.14 №31/пр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</si>
  <si>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 от ФОТ
СП 0% от ФОТ
 </t>
  </si>
  <si>
    <t>Мусор строительный, экскаваторами емк,ковша 0,5 м3: погрузка; ЭМ=11,26</t>
  </si>
  <si>
    <t>ФССЦпг03-21-01-025
-------------------------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</si>
  <si>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25 км I класс груза, 1 т груза
НР 0% от ФОТ
СП 0% от ФОТ
 </t>
  </si>
  <si>
    <t>Перевозка грузов автомобилями-самосвалами грузоподъемностью 10 т, работающих вне карьера, на расстояние: до 1 км.: I класс груза; ЭМ=8,75</t>
  </si>
  <si>
    <t xml:space="preserve">                           Раздел 2. Устройство кровли</t>
  </si>
  <si>
    <t xml:space="preserve">                                   Устройство металлических балок и опорных плит КР-13-14/13 (лист№6)</t>
  </si>
  <si>
    <t>ФЕР08-02-003-01
-------------------------
Приказ Минстроя РФ от 30.01.14 №31/пр</t>
  </si>
  <si>
    <t xml:space="preserve">Кладка из кирпича: столбов прямоугольных армированных при высоте этажа до 4 м, 1 м3 кладки
НР 93%=122%*(0,85*0,9) от ФОТ
СП 54%=80%*(0,8*0,85) от ФОТ
 </t>
  </si>
  <si>
    <t>1018,02
82,72</t>
  </si>
  <si>
    <t>40,65
5,67</t>
  </si>
  <si>
    <t xml:space="preserve">894,65 
 </t>
  </si>
  <si>
    <t>8.17. Кладка из кирпича конструкций: ОЗП=16,08; ЭМ=11,44; ЗПМ=16,08; МАТ=4,4</t>
  </si>
  <si>
    <t>4598
901</t>
  </si>
  <si>
    <t>8,8
0,42</t>
  </si>
  <si>
    <t>69,61
3,32</t>
  </si>
  <si>
    <t>ФЕР12-01-017-01
-------------------------
Приказ Минстроя РФ от 30.01.14 №31/пр</t>
  </si>
  <si>
    <t xml:space="preserve">Устройство выравнивающих стяжек: цементно-песчаных толщиной 15 мм, 100 м2 стяжки
НР 92%=120%*(0,85*0,9) от ФОТ
СП 44%=65%*(0,8*0,85) от ФОТ
 </t>
  </si>
  <si>
    <t>0,99
99/100</t>
  </si>
  <si>
    <t>1257,63
235,18</t>
  </si>
  <si>
    <t>190,48
21,86</t>
  </si>
  <si>
    <t xml:space="preserve">831,97 
 </t>
  </si>
  <si>
    <t>12.42. Устройство выравнивающих стяжек: цементно-песчаных: ОЗП=16,08; ЭМ=8,78; ЗПМ=16,08; МАТ=5,33</t>
  </si>
  <si>
    <t>2070
435</t>
  </si>
  <si>
    <t>27,22
1,94</t>
  </si>
  <si>
    <t>26,95
1,92</t>
  </si>
  <si>
    <t>ФЕР12-01-017-02
-------------------------
Приказ Минстроя РФ от 30.01.14 №31/пр</t>
  </si>
  <si>
    <t xml:space="preserve">Устройство выравнивающих стяжек: на каждый 1 мм изменения толщины добавлять или исключать к расценке 12-01-017-01, 100 м2 стяжки
(толщиной 20мм ПЗ=5 (ОЗП=5; ЭМ=5 к расх.; ЗПМ=5; МАТ=5 к расх.; ТЗ=5; ТЗМ=5))
НР 92%=120%*(0,85*0,9) от ФОТ
СП 44%=65%*(0,8*0,85) от ФОТ
 </t>
  </si>
  <si>
    <t>64,32
8,64</t>
  </si>
  <si>
    <t>2,66
0,34</t>
  </si>
  <si>
    <t xml:space="preserve">53,02 
 </t>
  </si>
  <si>
    <t>145
34</t>
  </si>
  <si>
    <t>5
0,15</t>
  </si>
  <si>
    <t>4,95
0,15</t>
  </si>
  <si>
    <t>ФЕР07-05-030-09
-------------------------
Приказ Минстроя РФ от 30.01.14 №31/пр</t>
  </si>
  <si>
    <t xml:space="preserve">Установка плит парапета массой: до 0,5 т, 100 шт. сборных конструкций
НР 119%=155%*(0,85*0,9) от ФОТ
СП 68%=100%*(0,8*0,85) от ФОТ
 </t>
  </si>
  <si>
    <t>0,58
58/100</t>
  </si>
  <si>
    <t>2393,04
424,94</t>
  </si>
  <si>
    <t>1208,52
170,91</t>
  </si>
  <si>
    <t xml:space="preserve">759,58 
 </t>
  </si>
  <si>
    <t>7.74. Установка плит лоджий, балконов и козырьков, разделительных стенок, экранов ограждений, плит парапета и мелких конструкций: ОЗП=16,08; ЭМ=11,44; ЗПМ=16,08; МАТ=5,16</t>
  </si>
  <si>
    <t>10024
1993</t>
  </si>
  <si>
    <t>46,29
12,66</t>
  </si>
  <si>
    <t>26,85
7,34</t>
  </si>
  <si>
    <t>Прайс-лист ЖБК-40</t>
  </si>
  <si>
    <t xml:space="preserve">Опорные подушки ОП 4 /бетон В15 (М200), объем 0,04 м3, расход ар-ры 3,4 кг / (серия 3.006.1-8) 781/1,18/5,16, шт
 </t>
  </si>
  <si>
    <t xml:space="preserve">128,27 
 </t>
  </si>
  <si>
    <t>Материалы; МАТ=5,16</t>
  </si>
  <si>
    <t xml:space="preserve">Опорные подушки ОП 6 /бетон В15 (М200), объем 0,07 м3, расход ар-ры 10,0 кг / (серия 3.006.1-8) 1562/1,18/5,16, шт
 </t>
  </si>
  <si>
    <t xml:space="preserve">256,54 
 </t>
  </si>
  <si>
    <t>ФЕР46-02-005-03
-------------------------
Приказ Минстроя РФ от 30.01.14 №31/пр</t>
  </si>
  <si>
    <t xml:space="preserve">Монтаж: прогонов, 1 т монтируемых конструкций
НР 84%=110%*(0,85*0,9) от ФОТ
СП 48%=70%*(0,8*0,85) от ФОТ
 </t>
  </si>
  <si>
    <t>10,807209
(8912,96+3,83+307,47+80,711+476,746+1025,492)/1000</t>
  </si>
  <si>
    <t>637,47
190,16</t>
  </si>
  <si>
    <t>207,1
15,68</t>
  </si>
  <si>
    <t xml:space="preserve">240,21 
 </t>
  </si>
  <si>
    <t>45.36 Монтаж прогонов: ОЗП=16,08; ЭМ=9,5; ЗПМ=16,08; МАТ=6,44</t>
  </si>
  <si>
    <t>21263
2725</t>
  </si>
  <si>
    <t>21,2
1,13</t>
  </si>
  <si>
    <t>229,11
12,21</t>
  </si>
  <si>
    <t>ФССЦ-101-1871
-------------------------
Приказ Минстроя РФ от 30.01.14 №31/пр</t>
  </si>
  <si>
    <t xml:space="preserve">Швеллеры № 16-24 сталь марки 18сп, т
 </t>
  </si>
  <si>
    <t>8,91296
8912,96/1000</t>
  </si>
  <si>
    <t xml:space="preserve">5989 
 </t>
  </si>
  <si>
    <t>Швеллеры № 16-24 сталь марки 18сп; МАТ=5,121</t>
  </si>
  <si>
    <t>ФССЦ-101-1627
-------------------------
Приказ Минстроя РФ от 30.01.14 №31/пр</t>
  </si>
  <si>
    <t xml:space="preserve">Сталь листовая углеродистая обыкновенного качества марки ВСт3пс5 толщиной 4-6 мм, т
 </t>
  </si>
  <si>
    <t>0,557457
(80,711+476,746)/1000</t>
  </si>
  <si>
    <t xml:space="preserve">5763 
 </t>
  </si>
  <si>
    <t>Сталь углеродистая обыкновенного качества, марка стали ВСт3пс5, листовая толщиной 4-6 мм; МАТ=4,367</t>
  </si>
  <si>
    <t>ФССЦ-101-2544
-------------------------
Приказ Минстроя РФ от 30.01.14 №31/пр</t>
  </si>
  <si>
    <t xml:space="preserve">Сталь угловая 63х63 мм, т
 </t>
  </si>
  <si>
    <t>1,025492
1025,492/1000</t>
  </si>
  <si>
    <t xml:space="preserve">5636,21 
 </t>
  </si>
  <si>
    <t>Сталь угловая 63х63 мм; МАТ=5,042</t>
  </si>
  <si>
    <t>ФССЦ-101-2218
-------------------------
Приказ Минстроя РФ от 30.01.14 №31/пр</t>
  </si>
  <si>
    <t xml:space="preserve">Сталь тонколистовая углеродистая обыкновенного качества толщиной 1,6-1,7 мм, т
 </t>
  </si>
  <si>
    <t>0,30747
307,47/1000</t>
  </si>
  <si>
    <t xml:space="preserve">5325 
 </t>
  </si>
  <si>
    <t>Сталь тонколистовая углеродистая обыкновенного качества толщиной:1,6-1,7 мм; МАТ=4,672</t>
  </si>
  <si>
    <t>ФССЦ-101-1844
-------------------------
Приказ Минстроя РФ от 30.01.14 №31/пр</t>
  </si>
  <si>
    <t xml:space="preserve">Сталь угловая, т
 </t>
  </si>
  <si>
    <t>Сталь угловая; МАТ=5,298</t>
  </si>
  <si>
    <t>ФЕР13-03-002-04
-------------------------
Приказ Минстроя РФ от 30.01.14 №31/пр</t>
  </si>
  <si>
    <t xml:space="preserve">Огрунтовка металлических поверхностей за один раз: грунтовкой ГФ-021, 100 м2 окрашиваемой поверхности
НР 69%=90%*(0,85*0,9) от ФОТ
СП 48%=70%*(0,8*0,85) от ФОТ
 </t>
  </si>
  <si>
    <t>2,3908
239,08/100</t>
  </si>
  <si>
    <t>268,7
56,55</t>
  </si>
  <si>
    <t>9,43
0,1</t>
  </si>
  <si>
    <t xml:space="preserve">202,72 
 </t>
  </si>
  <si>
    <t>13.39. Огрунтовка металлических поверхностей за один раз: грунтовкой ГФ-021: ОЗП=16,08; ЭМ=10,39; ЗПМ=16,08; МАТ=4,17</t>
  </si>
  <si>
    <t>234
4</t>
  </si>
  <si>
    <t>5,31
0,01</t>
  </si>
  <si>
    <t>12,7
0,02</t>
  </si>
  <si>
    <t xml:space="preserve">                                   Огнезащита металлических элементов (лист №34)</t>
  </si>
  <si>
    <t>ФЕР13-03-004-26
-------------------------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</si>
  <si>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НР 69%=90%*(0,85*0,9) от ФОТ
СП 48%=70%*(0,8*0,85) от ФОТ
 </t>
  </si>
  <si>
    <t>322,24
34,74</t>
  </si>
  <si>
    <t>6,22
0,1</t>
  </si>
  <si>
    <t xml:space="preserve">281,28 
 </t>
  </si>
  <si>
    <t>13.100 Окраска металлических огрунтованных поверхностей: эмалью ПФ-115: ОЗП=16,08; ЭМ=10,21; ЗПМ=16,08; МАТ=4,42</t>
  </si>
  <si>
    <t>152
4</t>
  </si>
  <si>
    <t>3,83
0,01</t>
  </si>
  <si>
    <t>9,16
0,02</t>
  </si>
  <si>
    <t>ФССЦ-113-0246
-------------------------
Приказ Минстроя РФ от 30.01.14 №31/пр</t>
  </si>
  <si>
    <t xml:space="preserve">Эмаль ПФ-115 серая, т
 </t>
  </si>
  <si>
    <t xml:space="preserve">14312,87 
 </t>
  </si>
  <si>
    <t>Эмаль ПФ-115 серая; МАТ=4,321</t>
  </si>
  <si>
    <t>Прайс-лист ТД "ПОЖАРКРАСКА"</t>
  </si>
  <si>
    <t xml:space="preserve">Состав огнезащитный "Unitfire CH"  260/1,18/5,16, кг
 </t>
  </si>
  <si>
    <t xml:space="preserve">42,7 
 </t>
  </si>
  <si>
    <t xml:space="preserve">                                   Стропильная и подстропильная часть (лист №33)</t>
  </si>
  <si>
    <t>ФЕР10-01-002-01
-------------------------
Приказ Минстроя РФ от 30.01.14 №31/пр</t>
  </si>
  <si>
    <t xml:space="preserve">Установка стропил, 1 м3 древесины в конструкции
НР 90%=118%*(0,85*0,9) от ФОТ
СП 43%=63%*(0,8*0,85) от ФОТ
 </t>
  </si>
  <si>
    <t>2300,67
200,19</t>
  </si>
  <si>
    <t>38,22
2,03</t>
  </si>
  <si>
    <t xml:space="preserve">2062,26 
 </t>
  </si>
  <si>
    <t>10.4. Установка стропил: ОЗП=16,08; ЭМ=9,92; ЗПМ=16,08; МАТ=3,69</t>
  </si>
  <si>
    <t>26601
2290</t>
  </si>
  <si>
    <t>24,09
0,15</t>
  </si>
  <si>
    <t>1352,17
8,42</t>
  </si>
  <si>
    <t xml:space="preserve">                                   Обрешетка</t>
  </si>
  <si>
    <t>ФЕРр58-12-1
-------------------------
Приказ Минстроя РФ от 30.01.14 №31/пр</t>
  </si>
  <si>
    <t xml:space="preserve">Устройство обрешетки сплошной из досок, 100 м2
НР 71%=83%*0,85 от ФОТ
СП 52%=65%*0,8 от ФОТ
 </t>
  </si>
  <si>
    <t>6,973
697,3/100</t>
  </si>
  <si>
    <t>2492,19
252,73</t>
  </si>
  <si>
    <t>40,78
5,94</t>
  </si>
  <si>
    <t xml:space="preserve">2198,68 
 </t>
  </si>
  <si>
    <t>83.30 Устройство обрешетки сплошной из досок: ОЗП=16,08; ЭМ=9,59; ЗПМ=16,08; МАТ=5,47</t>
  </si>
  <si>
    <t>2727
666</t>
  </si>
  <si>
    <t>31,83
0,44</t>
  </si>
  <si>
    <t>221,95
3,07</t>
  </si>
  <si>
    <t>ФЕРр58-12-2
-------------------------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</si>
  <si>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71%=83%*0,85 от ФОТ
СП 52%=65%*0,8 от ФОТ
 </t>
  </si>
  <si>
    <t>7,07852
707,852/100</t>
  </si>
  <si>
    <t>1766,82
169,52</t>
  </si>
  <si>
    <t>26,57
4,32</t>
  </si>
  <si>
    <t xml:space="preserve">1570,73 
 </t>
  </si>
  <si>
    <t>83.31 Устройство обрешетки с прозорами из досок и брусков под кровлю: из листовой стали: ОЗП=16,08; ЭМ=9,54; ЗПМ=16,08; МАТ=5,22</t>
  </si>
  <si>
    <t>1794
492</t>
  </si>
  <si>
    <t>21,35
0,32</t>
  </si>
  <si>
    <t>151,13
2,27</t>
  </si>
  <si>
    <t xml:space="preserve">                                   Огнезащита древесины</t>
  </si>
  <si>
    <t>ФЕР10-01-091-01
-------------------------
Приказ Минстроя РФ от 30.01.14 №31/пр</t>
  </si>
  <si>
    <t xml:space="preserve">Антисептическая обработка деревянных конструкций составом "Пирилакс" при помощи аппарата аэрозольно-капельного распыления, 100 м2 обрабатываемой поверхности
НР 90%=118%*(0,85*0,9) от ФОТ
СП 43%=63%*(0,8*0,85) от ФОТ
 </t>
  </si>
  <si>
    <t>49,6323
4963,23/100</t>
  </si>
  <si>
    <t>263,84
47,94</t>
  </si>
  <si>
    <t>39,73
0,46</t>
  </si>
  <si>
    <t xml:space="preserve">176,17 
 </t>
  </si>
  <si>
    <t>10.149 Антисептическая обработка деревянных конструкций составом 'Пирилакс': ОЗП=16,08; ЭМ=10,51; ЗПМ=16,08; МАТ=10,77</t>
  </si>
  <si>
    <t>20724
367</t>
  </si>
  <si>
    <t>5,1
0,04</t>
  </si>
  <si>
    <t>253,12
1,99</t>
  </si>
  <si>
    <t xml:space="preserve">                                   Слуховые окна (лист №28)</t>
  </si>
  <si>
    <t>ФЕР10-01-003-01
-------------------------
Приказ Минстроя РФ от 30.01.14 №31/пр</t>
  </si>
  <si>
    <t xml:space="preserve">Устройство слуховых окон, 1 слуховое окно
НР 90%=118%*(0,85*0,9) от ФОТ
СП 43%=63%*(0,8*0,85) от ФОТ
 </t>
  </si>
  <si>
    <t>378,81
56,55</t>
  </si>
  <si>
    <t>22,06
1,49</t>
  </si>
  <si>
    <t xml:space="preserve">300,2 
 </t>
  </si>
  <si>
    <t>10.5. Устройство слуховых окон: ОЗП=16,08; ЭМ=10,17; ЗПМ=16,08; МАТ=5,44</t>
  </si>
  <si>
    <t>3365
360</t>
  </si>
  <si>
    <t>6,63
0,11</t>
  </si>
  <si>
    <t>79,56
1,32</t>
  </si>
  <si>
    <t>ФССЦ-101-2001
-------------------------
Приказ Минстроя РФ от 30.01.14 №31/пр</t>
  </si>
  <si>
    <t xml:space="preserve">Шпингалеты дверные размером 230х26 мм, оцинкованные или окрашенные, компл.
 </t>
  </si>
  <si>
    <t xml:space="preserve">13,42 
 </t>
  </si>
  <si>
    <t>Шпингалеты дверные размером 230x26 мм, оцинкованные или окрашенные; МАТ=1,937</t>
  </si>
  <si>
    <t>ФССЦ-101-2007
-------------------------
Приказ Минстроя РФ от 30.01.14 №31/пр</t>
  </si>
  <si>
    <t xml:space="preserve">Петли форточные накладные размером 70х55 мм, компл.
 </t>
  </si>
  <si>
    <t xml:space="preserve">3,74 
 </t>
  </si>
  <si>
    <t>Петли форточные накладные размером 70x55 мм; МАТ=2,326</t>
  </si>
  <si>
    <t>ФЕР12-01-010-01
-------------------------
Приказ Минстроя РФ от 30.01.14 №31/пр</t>
  </si>
  <si>
    <t xml:space="preserve">Устройство мелких покрытий (брандмауэры, парапеты, свесы и т.п.) из листовой оцинкованной стали, 100 м2 покрытия
НР 92%=120%*(0,85*0,9) от ФОТ
СП 44%=65%*(0,8*0,85) от ФОТ
 </t>
  </si>
  <si>
    <t>0,72
72/100</t>
  </si>
  <si>
    <t>9875,72
961,76</t>
  </si>
  <si>
    <t>23,38
2,7</t>
  </si>
  <si>
    <t xml:space="preserve">8890,58 
 </t>
  </si>
  <si>
    <t>12.27. Устройство мелких покрытий (брандмауэры, парапеты, свесы и т.п.) из листовой оцинкованной стали: ОЗП=16,08; ЭМ=11,18; ЗПМ=16,08; МАТ=3,19</t>
  </si>
  <si>
    <t>235
39</t>
  </si>
  <si>
    <t>112,75
0,2</t>
  </si>
  <si>
    <t>81,18
0,14</t>
  </si>
  <si>
    <t xml:space="preserve">                                   Лестницы</t>
  </si>
  <si>
    <t>ФЕР10-01-052-02
прим.
-------------------------
Приказ Минстроя РФ от 30.01.14 №31/пр</t>
  </si>
  <si>
    <t>Устройство: внутриквартирных лестниц без подшивки, 1 м2 горизонтальной проекции
НР 90%=118%*(0,85*0,9) от ФОТ
СП 43%=63%*(0,8*0,85) от ФОТ
------------------------------------------
прим.</t>
  </si>
  <si>
    <t>442,77
39,25</t>
  </si>
  <si>
    <t xml:space="preserve">398,29 
 </t>
  </si>
  <si>
    <t>10.125 Устройство лестниц внутриквартирных: ОЗП=16,08; ЭМ=10,07; ЗПМ=16,08; МАТ=4,17</t>
  </si>
  <si>
    <t>ФЕР12-01-012-01
прим.
-------------------------
Приказ Минстроя РФ от 30.01.14 №31/пр</t>
  </si>
  <si>
    <t>Ограждение кровель перилами, 100 м ограждения
НР 92%=120%*(0,85*0,9) от ФОТ
СП 44%=65%*(0,8*0,85) от ФОТ
------------------------------------------
прим.</t>
  </si>
  <si>
    <t>0,96
(4*2*12)/100</t>
  </si>
  <si>
    <t>3147,39
59,1</t>
  </si>
  <si>
    <t>55,38
3,92</t>
  </si>
  <si>
    <t xml:space="preserve">3032,91 
 </t>
  </si>
  <si>
    <t>12.29. Ограждение кровель перилами: ОЗП=16,08; ЭМ=9,36; ЗПМ=16,08; МАТ=4,08</t>
  </si>
  <si>
    <t>498
61</t>
  </si>
  <si>
    <t>6,67
0,29</t>
  </si>
  <si>
    <t>6,4
0,28</t>
  </si>
  <si>
    <t>ФССЦ-201-0777
-------------------------
Приказ Минстроя РФ от 30.01.14 №31/пр</t>
  </si>
  <si>
    <t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</si>
  <si>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10045 
 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</si>
  <si>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МАТ=4,086</t>
  </si>
  <si>
    <t>ФССЦ-103-1790
-------------------------
Приказ Минстроя РФ от 30.01.14 №31/пр</t>
  </si>
  <si>
    <t xml:space="preserve">Трубы стальные прямоугольные (ГОСТ 8645-86) размером 50х25 мм, толщина стенки 2,5 мм, м
 </t>
  </si>
  <si>
    <t xml:space="preserve">21,98 
 </t>
  </si>
  <si>
    <t>Трубы стальные:прямоугольные (ГОСТ 8645-86) размером 50x25 мм, толщина стенки 2,5 мм; МАТ=3,324</t>
  </si>
  <si>
    <t>ФССЦ-103-1469
-------------------------
Приказ Минстроя РФ от 30.01.14 №31/пр</t>
  </si>
  <si>
    <t xml:space="preserve">Трубы стальные квадратные (ГОСТ 8639-82) размером 25х25 мм, толщина стенки 2 мм, м
 </t>
  </si>
  <si>
    <t xml:space="preserve">10,67 
 </t>
  </si>
  <si>
    <t>Трубы стальные:квадратные (ГОСТ 8639-82) размером 25x25 мм, толщина стенки 2,0 мм; МАТ=3,669</t>
  </si>
  <si>
    <t>0,1776
17,76/100</t>
  </si>
  <si>
    <t xml:space="preserve">Окраска металлических огрунтованных поверхностей: эмалью ПФ-115, 100 м2 окрашиваемой поверхности
(К=2 ПЗ=2 (ОЗП=2; ЭМ=2 к расх.; ЗПМ=2; МАТ=2 к расх.; ТЗ=2; ТЗМ=2))
НР 69%=90%*(0,85*0,9) от ФОТ
СП 48%=70%*(0,8*0,85) от ФОТ
 </t>
  </si>
  <si>
    <t>23
1</t>
  </si>
  <si>
    <t>7,66
0,02</t>
  </si>
  <si>
    <t xml:space="preserve">                           Раздел 3. Устройство кровли</t>
  </si>
  <si>
    <t xml:space="preserve">                                   Устройство карниза</t>
  </si>
  <si>
    <t>ФЕР10-01-008-05
-------------------------
Приказ Минстроя РФ от 30.01.14 №31/пр</t>
  </si>
  <si>
    <t xml:space="preserve">Устройство: карнизов, 100 м2 стен, фронтонов (за вычетом проемов) и развернутых поверхностей карнизов
НР 90%=118%*(0,85*0,9) от ФОТ
СП 43%=63%*(0,8*0,85) от ФОТ
 </t>
  </si>
  <si>
    <t>1,7564
175,64/100</t>
  </si>
  <si>
    <t>5313,52
1219,79</t>
  </si>
  <si>
    <t xml:space="preserve">4013,92 
 </t>
  </si>
  <si>
    <t>10.12. Устройство карнизов: ОЗП=16,08; ЭМ=10,02; ЗПМ=16,08; МАТ=6,49</t>
  </si>
  <si>
    <t>ФЕР09-05-001-01
-------------------------
Приказ Минстроя РФ от 30.01.14 №31/пр</t>
  </si>
  <si>
    <t xml:space="preserve">Облицовка карниза стальным профилированным листом, 100 м2
НР 69%=90%*(0,85*0,9) от ФОТ
СП 58%=85%*(0,8*0,85) от ФОТ
 </t>
  </si>
  <si>
    <t>2,7975
279,75/100</t>
  </si>
  <si>
    <t>340,32
288,75</t>
  </si>
  <si>
    <t>38,21
1,62</t>
  </si>
  <si>
    <t xml:space="preserve">13,36 
 </t>
  </si>
  <si>
    <t>9.64. Облицовка ворот стальным профилированным листом: ОЗП=16,08; ЭМ=8,56; ЗПМ=16,08; МАТ=2,91</t>
  </si>
  <si>
    <t>915
73</t>
  </si>
  <si>
    <t>32,59
0,12</t>
  </si>
  <si>
    <t>91,17
0,34</t>
  </si>
  <si>
    <t>ФССЦ-101-3849
-------------------------
Приказ Минстроя РФ от 30.01.14 №31/пр</t>
  </si>
  <si>
    <t xml:space="preserve">Профилированный настил оцинкованный С10-1000-0,6, т
 </t>
  </si>
  <si>
    <t>1,72326
(279,75*1,1*5,6)/1000</t>
  </si>
  <si>
    <t xml:space="preserve">10675,31 
 </t>
  </si>
  <si>
    <t>Профилированный настил оцинкованный: С10-1000-0,6; МАТ=3,249</t>
  </si>
  <si>
    <t xml:space="preserve">Устройство мелких покрытий (брандмауэры, парапеты, свесы и т.п.) из листовой оцинкованной стали (карнизная часть), 100 м2 покрытия
НР 92%=120%*(0,85*0,9) от ФОТ
СП 44%=65%*(0,8*0,85) от ФОТ
 </t>
  </si>
  <si>
    <t>4,19444
419,444/100</t>
  </si>
  <si>
    <t>1370
228</t>
  </si>
  <si>
    <t>472,92
0,84</t>
  </si>
  <si>
    <t xml:space="preserve">                                   Устройство кровли</t>
  </si>
  <si>
    <t>ФЕР26-01-055-02
-------------------------
Приказ Минстроя РФ от 30.01.14 №31/пр</t>
  </si>
  <si>
    <t xml:space="preserve">Установка пароизоляционного слоя из: пленки полиэтиленовой (без стекловолокнистых материалов), 100 м2 поверхности покрытия изоляции
НР 77%=100%*(0,85*0,9) от ФОТ
СП 48%=70%*(0,8*0,85) от ФОТ
 </t>
  </si>
  <si>
    <t>14,276
1427,6/100</t>
  </si>
  <si>
    <t>1532,98
125,51</t>
  </si>
  <si>
    <t xml:space="preserve">1385,68 
 </t>
  </si>
  <si>
    <t>25.74 Установка пароизоляционного слоя из пленки полиэтиленовой: ОЗП=16,08; ЭМ=10,06; ЗПМ=16,08; МАТ=1,64</t>
  </si>
  <si>
    <t>ФССЦ-113-1952
-------------------------
Приказ Минстроя РФ от 30.01.14 №31/пр</t>
  </si>
  <si>
    <t xml:space="preserve">Пленка полиэтиленовая толщиной 0,2-0,5 мм, изоловая, м2
 </t>
  </si>
  <si>
    <t xml:space="preserve">4,82 
 </t>
  </si>
  <si>
    <t>Пленка полиэтиленовая толщиной 0,2-0,5 мм, изоловая; МАТ=1,213</t>
  </si>
  <si>
    <t>ТССЦ-104-9221-90004
-------------------------
И8</t>
  </si>
  <si>
    <t xml:space="preserve">Изоспан: Защитный материал марки D, м2
 </t>
  </si>
  <si>
    <t xml:space="preserve">12,03 
 </t>
  </si>
  <si>
    <t>Изоспан: Защитный материал марки D; МАТ=1,521</t>
  </si>
  <si>
    <t>ФЕР12-01-023-01
-------------------------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</si>
  <si>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НР 92%=120%*(0,85*0,9) от ФОТ
СП 44%=65%*(0,8*0,85) от ФОТ
 </t>
  </si>
  <si>
    <t>12,907
1290,7/100</t>
  </si>
  <si>
    <t>9597,58
332,9</t>
  </si>
  <si>
    <t>115,24
10,67</t>
  </si>
  <si>
    <t xml:space="preserve">9149,44 
 </t>
  </si>
  <si>
    <t>12.50. Устройство кровли из металлочерепицы (с отделочным покрытием): ОЗП=16,08; ЭМ=10,39; ЗПМ=16,08; МАТ=3,12</t>
  </si>
  <si>
    <t>19318
2768</t>
  </si>
  <si>
    <t>38,53
0,79</t>
  </si>
  <si>
    <t>497,31
10,2</t>
  </si>
  <si>
    <t>ФССЦ-101-4136
-------------------------
Приказ Минстроя РФ от 30.01.14 №31/пр</t>
  </si>
  <si>
    <t xml:space="preserve">Металлочерепица «Монтеррей», м2
 </t>
  </si>
  <si>
    <t xml:space="preserve">70,5 
 </t>
  </si>
  <si>
    <t>Металлочерепица «Монтеррей»; МАТ=3,308</t>
  </si>
  <si>
    <t>ФССЦ-101-3845
-------------------------
Приказ Минстроя РФ от 30.01.14 №31/пр</t>
  </si>
  <si>
    <t xml:space="preserve">Профилированный лист оцинкованный НС44-1000-0,7, т
 </t>
  </si>
  <si>
    <t>11,784091
(1290,7*1,1*8,3)/1000</t>
  </si>
  <si>
    <t xml:space="preserve">10090,38 
 </t>
  </si>
  <si>
    <t>Профилированный лист оцинкованный: НС44-1000-0,7; МАТ=3,047</t>
  </si>
  <si>
    <t>ТССЦ-101-2410-20002
-------------------------
И8</t>
  </si>
  <si>
    <t xml:space="preserve">Планка оцинкованная, с полимерным покрытием конька металлочерепичного: плоского, с полкой 190мм, м
 </t>
  </si>
  <si>
    <t xml:space="preserve">112,33 
 </t>
  </si>
  <si>
    <t>Планка оцинкованная, с полимерным покрытием конька металлочерепичного: плоского, с полкой 190мм; МАТ=1,255</t>
  </si>
  <si>
    <t>ТССЦ-101-2410-20008
-------------------------
И8</t>
  </si>
  <si>
    <t xml:space="preserve">Планка примыкания нижняя металлочерепичная оцинкованная, с полимерным покрытием(примыкание к ВК), м
 </t>
  </si>
  <si>
    <t xml:space="preserve">95,32 
 </t>
  </si>
  <si>
    <t>Планка примыкания нижняя металлочерепичная оцинкованная, с полимерным покрытием; МАТ=1,505</t>
  </si>
  <si>
    <t>ТССЦ-101-2410-20005
-------------------------
И8</t>
  </si>
  <si>
    <t xml:space="preserve">Планка ендовы металлочерепичной, оцинкованной, с полимерным покрытием нижней, м
 </t>
  </si>
  <si>
    <t xml:space="preserve">153,09 
 </t>
  </si>
  <si>
    <t>Планка ендовы металлочерепичной, оцинкованной, с полимерным покрытием нижней; МАТ=1,314</t>
  </si>
  <si>
    <t xml:space="preserve">                                   Кровельное ограждение (лист №29)</t>
  </si>
  <si>
    <t>ФЕР12-01-012-01
-------------------------
Приказ Минстроя РФ от 30.01.14 №31/пр</t>
  </si>
  <si>
    <t xml:space="preserve">Ограждение кровель перилами, 100 м ограждения
НР 92%=120%*(0,85*0,9) от ФОТ
СП 44%=65%*(0,8*0,85) от ФОТ
 </t>
  </si>
  <si>
    <t>2,22
222/100</t>
  </si>
  <si>
    <t>1439
175</t>
  </si>
  <si>
    <t>14,81
0,64</t>
  </si>
  <si>
    <t xml:space="preserve">Окраска металлических огрунтованных поверхностей: эмалью ПФ-115, 100 м2 окрашиваемой поверхности
(к=2 ПЗ=2 (ОЗП=2; ЭМ=2 к расх.; ЗПМ=2; МАТ=2 к расх.; ТЗ=2; ТЗМ=2))
НР 69%=90%*(0,85*0,9) от ФОТ
СП 48%=70%*(0,8*0,85) от ФОТ
 </t>
  </si>
  <si>
    <t>1,02
102/100</t>
  </si>
  <si>
    <t>130
3</t>
  </si>
  <si>
    <t>7,81
0,02</t>
  </si>
  <si>
    <t>ФЕР12-01-012-01
прим
-------------------------
Приказ Минстроя РФ от 30.01.14 №31/пр</t>
  </si>
  <si>
    <t>Ограждение кровель перилами, 100 м ограждения
НР 92%=120%*(0,85*0,9) от ФОТ
СП 44%=65%*(0,8*0,85) от ФОТ
------------------------------------------
прим</t>
  </si>
  <si>
    <t>0,862
86,2/100</t>
  </si>
  <si>
    <t>447
54</t>
  </si>
  <si>
    <t>5,75
0,25</t>
  </si>
  <si>
    <t>ФССЦ-509-0801
-------------------------
Приказ Минстроя РФ от 30.01.14 №31/пр</t>
  </si>
  <si>
    <t xml:space="preserve">Трос стальной, м
 </t>
  </si>
  <si>
    <t>Трос стальной; МАТ=6,909</t>
  </si>
  <si>
    <t>ФССЦ-509-0125
-------------------------
Приказ Минстроя РФ от 30.01.14 №31/пр</t>
  </si>
  <si>
    <t xml:space="preserve">Анкер тросовый, 100 шт.
 </t>
  </si>
  <si>
    <t>5,24
524/100</t>
  </si>
  <si>
    <t xml:space="preserve">3000 
 </t>
  </si>
  <si>
    <t>Анкер тросовой; МАТ=3,041</t>
  </si>
  <si>
    <t xml:space="preserve">                           Раздел 4. Вент. шахты</t>
  </si>
  <si>
    <t xml:space="preserve">                                   Устройсто металлического каркаса вент. канала (лист №24)</t>
  </si>
  <si>
    <t>ФЕР09-03-014-01
-------------------------
Приказ Минстроя РФ от 30.01.14 №31/пр</t>
  </si>
  <si>
    <t xml:space="preserve">Монтаж связей и распорок из одиночных и парных уголков, гнутосварных профилей для пролетов: до 24 м при высоте здания до 25 м, 1 т конструкций
НР 69%=90%*(0,85*0,9) от ФОТ
СП 58%=85%*(0,8*0,85) от ФОТ
 </t>
  </si>
  <si>
    <t>1,23712
1237,12/1000</t>
  </si>
  <si>
    <t>1262,6
553,07</t>
  </si>
  <si>
    <t>477,18
51,76</t>
  </si>
  <si>
    <t xml:space="preserve">232,35 
 </t>
  </si>
  <si>
    <t>9.27. Монтаж связей и распорок из одиночных и парных уголков, гнутосварных профилей: ОЗП=16,08; ЭМ=11,91; ЗПМ=16,08; МАТ=6,2</t>
  </si>
  <si>
    <t>7031
1030</t>
  </si>
  <si>
    <t>63,28
3,82</t>
  </si>
  <si>
    <t>78,29
4,73</t>
  </si>
  <si>
    <t>ФССЦ-103-1522
-------------------------
Приказ Минстроя РФ от 30.01.14 №31/пр</t>
  </si>
  <si>
    <t xml:space="preserve">Трубы стальные квадратные (ГОСТ 8639-82) размером 80х80 мм. толщина стенки 4 мм, м
 </t>
  </si>
  <si>
    <t xml:space="preserve">75,02 
 </t>
  </si>
  <si>
    <t>Трубы стальные:квадратные (ГОСТ 8639-82) размером 80x80 мм, толщина стенки 4 мм; МАТ=3,363</t>
  </si>
  <si>
    <t>ФССЦ-101-2545
-------------------------
Приказ Минстроя РФ от 30.01.14 №31/пр</t>
  </si>
  <si>
    <t xml:space="preserve">Сталь угловая 75х75 мм, т
 </t>
  </si>
  <si>
    <t xml:space="preserve">5531,93 
 </t>
  </si>
  <si>
    <t>Сталь угловая 75х75 мм; МАТ=5,028</t>
  </si>
  <si>
    <t>0,01764
17,64/1000</t>
  </si>
  <si>
    <t>ФССЦ-101-2877
-------------------------
Приказ Минстроя РФ от 30.01.14 №31/пр</t>
  </si>
  <si>
    <t xml:space="preserve">Болт анкерный диаметром 12 мм, шт.
 </t>
  </si>
  <si>
    <t xml:space="preserve">2,9 
 </t>
  </si>
  <si>
    <t>Болт анкерный диаметром 12 мм; МАТ=5,368</t>
  </si>
  <si>
    <t>ФЕРр58-13-1
-------------------------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</si>
  <si>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71%=83%*0,85 от ФОТ
СП 52%=65%*0,8 от ФОТ
 </t>
  </si>
  <si>
    <t>3,1914
319,14/100</t>
  </si>
  <si>
    <t>924,81
36,25</t>
  </si>
  <si>
    <t xml:space="preserve">883,33 
 </t>
  </si>
  <si>
    <t>83.34 Устройство покрытия из рулонных материалов: насухо без промазки кромок: ОЗП=16,08; ЭМ=10,07; ЗПМ=16,08; МАТ=4,8</t>
  </si>
  <si>
    <t>ФССЦ-101-0852
-------------------------
Приказ Минстроя РФ от 30.01.14 №31/пр</t>
  </si>
  <si>
    <t xml:space="preserve">Рубероид кровельный с крупнозернистой посыпкой марки РКК-350б, м2
 </t>
  </si>
  <si>
    <t xml:space="preserve">7,46 
 </t>
  </si>
  <si>
    <t>Рубероид кровельный с крупнозернистой посыпкой марки: РКК-350б; МАТ=4,797</t>
  </si>
  <si>
    <t>ТССЦ-104-9221-90002
-------------------------
И8</t>
  </si>
  <si>
    <t xml:space="preserve">Изоспан: Двухслойная паропроницаемая мембрана марки В, м2
 </t>
  </si>
  <si>
    <t xml:space="preserve">9,68 
 </t>
  </si>
  <si>
    <t>Изоспан: Двухслойная паропроницаемая мембрана марки В; МАТ=1,406</t>
  </si>
  <si>
    <t>ФЕР26-01-036-01
-------------------------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</si>
  <si>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НР 77%=100%*(0,85*0,9) от ФОТ
СП 48%=70%*(0,8*0,85) от ФОТ
 </t>
  </si>
  <si>
    <t>3,366
(33,66/0,1)/100</t>
  </si>
  <si>
    <t>247,16
132,33</t>
  </si>
  <si>
    <t>9,38
0,41</t>
  </si>
  <si>
    <t xml:space="preserve">105,45 
 </t>
  </si>
  <si>
    <t>25.40 Изоляция изделиями из волокнистых и зернистых материалов с креплением на клее и дюбелями холодных поверхностей: наружных стен: ОЗП=16,08; ЭМ=8,58; ЗПМ=16,08; МАТ=1,85</t>
  </si>
  <si>
    <t>339
28</t>
  </si>
  <si>
    <t>16,06
0,03</t>
  </si>
  <si>
    <t>54,06
0,1</t>
  </si>
  <si>
    <t>ТССЦ-104-9100-91013
-------------------------
И8</t>
  </si>
  <si>
    <t xml:space="preserve">Плиты теплоизоляционные энергетические негидрофобизированные базальтовые: ПТЭ-125, размером  2000х1000х50 мм, м3
 </t>
  </si>
  <si>
    <t xml:space="preserve">1362,04 
 </t>
  </si>
  <si>
    <t>Плиты теплоизоляционные энергетические негидрофобизированные базальтовые: ПТЭ-125, размером  2000х1000х50 мм; МАТ=2,805</t>
  </si>
  <si>
    <t>ФССЦ-101-2796
-------------------------
Приказ Минстроя РФ от 30.01.14 №31/пр</t>
  </si>
  <si>
    <t xml:space="preserve">Дюбель распорный с металлическим стержнем 10х120 мм, 10 шт.
 </t>
  </si>
  <si>
    <t>168,2
1682/10</t>
  </si>
  <si>
    <t xml:space="preserve">6,22 
 </t>
  </si>
  <si>
    <t>Дюбель распорный с металлическим стержнем: 10х120 мм; МАТ=10,527</t>
  </si>
  <si>
    <t>ФЕР10-01-008-08
-------------------------
Приказ Минстроя РФ от 30.01.14 №31/пр</t>
  </si>
  <si>
    <t xml:space="preserve">Обивка стен кровельной сталью: оцинкованной по войлоку, 100 м2 стен, фронтонов (за вычетом проемов) и развернутых поверхностей карнизов
НР 90%=118%*(0,85*0,9) от ФОТ
СП 43%=63%*(0,8*0,85) от ФОТ
 </t>
  </si>
  <si>
    <t>4,8132
481,32/100</t>
  </si>
  <si>
    <t>6989,42
275,22</t>
  </si>
  <si>
    <t xml:space="preserve">6695,89 
 </t>
  </si>
  <si>
    <t>10.15. Обивка стен кровельной сталью: оцинкованной по войлоку: ОЗП=16,08; ЭМ=10,06; ЗПМ=16,08; МАТ=3,1</t>
  </si>
  <si>
    <t>ФЕР10-01-010-01
-------------------------
Приказ Минстроя РФ от 30.01.14 №31/пр</t>
  </si>
  <si>
    <t xml:space="preserve">Установка элементов каркаса: из брусьев, 1 м3 древесины в конструкции
НР 90%=118%*(0,85*0,9) от ФОТ
СП 43%=63%*(0,8*0,85) от ФОТ
 </t>
  </si>
  <si>
    <t>2411,06
188,55</t>
  </si>
  <si>
    <t xml:space="preserve">2189 
 </t>
  </si>
  <si>
    <t>10.18. Установка деревянных элементов каркаса: ОЗП=16,08; ЭМ=9,79; ЗПМ=16,08; МАТ=3,36</t>
  </si>
  <si>
    <t xml:space="preserve">Установка зонтов над шахтами из листовой стали прямоугольного сечения периметром : 2600 мм, 1 зонт
НР 98%=128%*(0,85*0,9) от ФОТ
СП 56%=83%*(0,8*0,85) от ФОТ
 </t>
  </si>
  <si>
    <t>ФССЦ-301-0292
-------------------------
Приказ Минстроя РФ от 30.01.14 №31/пр</t>
  </si>
  <si>
    <t xml:space="preserve">Зонты вентиляционных систем из листовой оцинкованной стали, прямоугольные, периметром шахты 2600 мм, шт.
 </t>
  </si>
  <si>
    <t xml:space="preserve">321,3 
 </t>
  </si>
  <si>
    <t>Зонты вентиляционных систем из листовой оцинкованной стали, прямоугольные, периметром шахты 2600 мм; МАТ=5,07</t>
  </si>
  <si>
    <t>0,36
36/100</t>
  </si>
  <si>
    <t>6221
1236</t>
  </si>
  <si>
    <t>16,66
4,56</t>
  </si>
  <si>
    <t xml:space="preserve">                           Раздел 5. Фановые трубы (лист №34)</t>
  </si>
  <si>
    <t>ФЕР16-04-004-02
-------------------------
Приказ Минстроя РФ от 30.01.14 №31/пр</t>
  </si>
  <si>
    <t xml:space="preserve">Прокладка внутренних трубопроводов канализации из полипропиленовых труб диаметром: 110 мм, 100 м трубопровода
НР 98%=128%*(0,85*0,9) от ФОТ
СП 56%=83%*(0,8*0,85) от ФОТ
 </t>
  </si>
  <si>
    <t>0,513
(18*2,85)/100</t>
  </si>
  <si>
    <t>4966,99
524,8</t>
  </si>
  <si>
    <t>40,61
3,44</t>
  </si>
  <si>
    <t xml:space="preserve">4401,58 
 </t>
  </si>
  <si>
    <t>16.121 Прокладка внутренних трубопроводов канализации из полипропиленовых труб диаметром: 110 мм: ОЗП=16,08; ЭМ=10,82; ЗПМ=16,08; МАТ=3,31</t>
  </si>
  <si>
    <t>225
28</t>
  </si>
  <si>
    <t>55,83
0,28</t>
  </si>
  <si>
    <t>28,64
0,14</t>
  </si>
  <si>
    <t>ФЕР26-01-054-01
-------------------------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</si>
  <si>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НР 77%=100%*(0,85*0,9) от ФОТ
СП 48%=70%*(0,8*0,85) от ФОТ
 </t>
  </si>
  <si>
    <t>0,1772
17,72/100</t>
  </si>
  <si>
    <t>1731,54
276,31</t>
  </si>
  <si>
    <t xml:space="preserve">1404,64 
 </t>
  </si>
  <si>
    <t>25.71 Обертывание поверхности изоляции рулонными материалами насухо с проклейкой швов: ОЗП=16,08; ЭМ=9,99; ЗПМ=16,08; МАТ=9,7</t>
  </si>
  <si>
    <t>ФССЦ-101-1794
-------------------------
Приказ Минстроя РФ от 30.01.14 №31/пр</t>
  </si>
  <si>
    <t xml:space="preserve">Бризол, 1000 м2
 </t>
  </si>
  <si>
    <t xml:space="preserve">7800 
 </t>
  </si>
  <si>
    <t>Бризол; МАТ=11,969</t>
  </si>
  <si>
    <t>ФЕР26-01-009-01
-------------------------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</si>
  <si>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НР 77%=100%*(0,85*0,9) от ФОТ
СП 48%=70%*(0,8*0,85) от ФОТ
 </t>
  </si>
  <si>
    <t>1562,09
183,98</t>
  </si>
  <si>
    <t xml:space="preserve">1320,96 
 </t>
  </si>
  <si>
    <t>25.13. Изоляция трубопроводов: матами минераловатными марок 75, 100, плитами минераловатными на синтетическом связующем марки 75: ОЗП=16,08; ЭМ=10; ЗПМ=16,08; МАТ=3,09</t>
  </si>
  <si>
    <t>ФССЦ-104-0009
-------------------------
Приказ Минстроя РФ от 30.01.14 №31/пр</t>
  </si>
  <si>
    <t xml:space="preserve">Маты прошивные из минеральной ваты без обкладок М-100, толщина 60 мм, м3
 </t>
  </si>
  <si>
    <t xml:space="preserve">542,4 
 </t>
  </si>
  <si>
    <t>Маты прошивные из минеральной ваты:без обкладок М-100, толщина 60 мм; МАТ=3,115</t>
  </si>
  <si>
    <t>ТССЦ-104-9242-90005
-------------------------
И8</t>
  </si>
  <si>
    <t xml:space="preserve">Утеплитель URSA: М 15, толщиной 50 мм, м2
 </t>
  </si>
  <si>
    <t xml:space="preserve">33,3 
 </t>
  </si>
  <si>
    <t>Утеплитель URSA: М 15, толщиной 50 мм; МАТ=1,929</t>
  </si>
  <si>
    <t>ФЕР26-01-052-01
-------------------------
Приказ Минстроя РФ от 30.01.14 №31/пр</t>
  </si>
  <si>
    <t xml:space="preserve">Покрытие поверхности изоляции трубопроводов: стеклопластиками РСТ, тканями стеклянными, 100 м2 поверхности покрытия изоляции
НР 77%=100%*(0,85*0,9) от ФОТ
СП 48%=70%*(0,8*0,85) от ФОТ
 </t>
  </si>
  <si>
    <t>0,3234
32,34/100</t>
  </si>
  <si>
    <t>8692,28
1019,28</t>
  </si>
  <si>
    <t xml:space="preserve">7596,54 
 </t>
  </si>
  <si>
    <t>25.67 Покрытие поверхности изоляции трубопроводов: стеклопластиками РСТ, тканями стеклянными: ОЗП=16,08; ЭМ=9,3; ЗПМ=16,08; МАТ=2,38</t>
  </si>
  <si>
    <t>ФЕР26-01-049-02
-------------------------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</si>
  <si>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НР 77%=100%*(0,85*0,9) от ФОТ
СП 48%=70%*(0,8*0,85) от ФОТ
 </t>
  </si>
  <si>
    <t>0,176
17,6/100</t>
  </si>
  <si>
    <t>15140,9
1449,56</t>
  </si>
  <si>
    <t xml:space="preserve">12722,28 
 </t>
  </si>
  <si>
    <t>25.63 Покрытие поверхности изоляции трубопроводов: сталью оцинкованной: ОЗП=16,08; ЭМ=7,41; ЗПМ=16,08; МАТ=4,05</t>
  </si>
  <si>
    <t xml:space="preserve">                           Раздел 6. Устройство противопожарной перегородки (лист №26)</t>
  </si>
  <si>
    <t>ФЕР09-03-012-12
-------------------------
Приказ Минстроя РФ от 30.01.14 №31/пр</t>
  </si>
  <si>
    <t xml:space="preserve">Монтаж опорных стоек для пролетов: до 24 м, 1 т конструкций
НР 69%=90%*(0,85*0,9) от ФОТ
СП 58%=85%*(0,8*0,85) от ФОТ
 </t>
  </si>
  <si>
    <t>0,455836
455,836/1000</t>
  </si>
  <si>
    <t>454,39
59,11</t>
  </si>
  <si>
    <t>273,94
29,91</t>
  </si>
  <si>
    <t xml:space="preserve">121,34 
 </t>
  </si>
  <si>
    <t>9.25. Монтаж стропильных и подстропильных ферм, опорных стоек: ОЗП=16,08; ЭМ=10,47; ЗПМ=16,08; МАТ=5,04</t>
  </si>
  <si>
    <t>1307
219</t>
  </si>
  <si>
    <t>6,59
2,09</t>
  </si>
  <si>
    <t>3
0,95</t>
  </si>
  <si>
    <t>ФССЦ-103-1840
-------------------------
Приказ Минстроя РФ от 30.01.14 №31/пр</t>
  </si>
  <si>
    <t xml:space="preserve">Трубы стальные прямоугольные (ГОСТ 8645-86) размером 80х40 мм, толщина стенки 4 мм, м
 </t>
  </si>
  <si>
    <t xml:space="preserve">54,29 
 </t>
  </si>
  <si>
    <t>Трубы стальные:прямоугольные (ГОСТ 8645-86) размером 80x40 мм, толщина стенки 4 мм; МАТ=3,396</t>
  </si>
  <si>
    <t>0,133332
133,332/1000</t>
  </si>
  <si>
    <t>758
111</t>
  </si>
  <si>
    <t>8,44
0,51</t>
  </si>
  <si>
    <t>ФССЦ-101-1783
-------------------------
Приказ Минстроя РФ от 30.01.14 №31/пр</t>
  </si>
  <si>
    <t xml:space="preserve">Швеллеры № 10-14 сталь марки 18сп, т
 </t>
  </si>
  <si>
    <t xml:space="preserve">5863,89 
 </t>
  </si>
  <si>
    <t>Швеллеры № 10-14 сталь марки 18сп; МАТ=4,739</t>
  </si>
  <si>
    <t>ФЕР10-06-032-02
-------------------------
Приказ Минстроя РФ от 30.01.14 №31/пр</t>
  </si>
  <si>
    <t xml:space="preserve">Устройство перегородок из гипсоволокнистых листов (ГВЛ) по системе «КНАУФ» с одинарным металлическим каркасом и двухслойной обшивкой с обеих сторон (С 362): с одним дверным проемом, 100 м2 перегородок (за вычетом проемов)
НР 90%=118%*(0,85*0,9) от ФОТ
СП 43%=63%*(0,8*0,85) от ФОТ
 </t>
  </si>
  <si>
    <t>0,3312
33,12/100</t>
  </si>
  <si>
    <t>15981,47
1333,29</t>
  </si>
  <si>
    <t xml:space="preserve">14627,68 
 </t>
  </si>
  <si>
    <t>10.218 Устройство перегородок из гипсоволокнистых листов (ГВЛ) по системе 'КНАУФ' с одинарным металлическим каркасом и двухслойной обшивкой с обеих сторон: ОЗП=16,08; ЭМ=4,38; ЗПМ=16,08; МАТ=6,01</t>
  </si>
  <si>
    <t>ТССЦ-104-9242-90003
-------------------------
И8</t>
  </si>
  <si>
    <t xml:space="preserve">Утеплитель URSA: П30, толщиной 50 мм, м2
 </t>
  </si>
  <si>
    <t xml:space="preserve">59,81 
 </t>
  </si>
  <si>
    <t>Утеплитель URSA: П30, толщиной 50 мм; МАТ=1,84</t>
  </si>
  <si>
    <t>ФЕР09-04-013-01
-------------------------
Приказ Минстроя РФ от 30.01.14 №31/пр</t>
  </si>
  <si>
    <t xml:space="preserve">Установка противопожарных дверей: однопольных глухих, 1 м2 проема
НР 69%=90%*(0,85*0,9) от ФОТ
СП 58%=85%*(0,8*0,85) от ФОТ
 </t>
  </si>
  <si>
    <t>1,71
1,9*0,9</t>
  </si>
  <si>
    <t>91,99
21,13</t>
  </si>
  <si>
    <t xml:space="preserve">60,66 
 </t>
  </si>
  <si>
    <t>9.63. Установка противопожарных дверей: ОЗП=16,08; ЭМ=6,01; ЗПМ=16,08; МАТ=4,86</t>
  </si>
  <si>
    <t>ФССЦ-203-8122
-------------------------
Приказ Минстроя РФ от 30.01.14 №31/пр</t>
  </si>
  <si>
    <t>Проведена проверка достоверности определения сметной стоимости</t>
  </si>
  <si>
    <t>Составил:___________________</t>
  </si>
  <si>
    <t>Непредвиденные затраты - 2%</t>
  </si>
  <si>
    <t>Итого</t>
  </si>
  <si>
    <t>НДС 18%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</si>
</sst>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0"/>
      <name val="Tahoma"/>
      <family val="2"/>
    </font>
    <font>
      <i/>
      <sz val="8"/>
      <name val="Tahoma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3" fillId="28" borderId="8" applyNumberFormat="0" applyAlignment="0" applyProtection="0"/>
    <xf numFmtId="0" fontId="2" fillId="0" borderId="1">
      <alignment horizontal="center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1">
      <alignment horizontal="center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8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54" applyFont="1" applyBorder="1" applyAlignment="1">
      <alignment horizont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68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1" fillId="0" borderId="0" xfId="68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1" xfId="68" applyFont="1" applyBorder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9" fillId="0" borderId="0" xfId="68" applyFont="1" applyAlignment="1" quotePrefix="1">
      <alignment horizontal="left"/>
    </xf>
    <xf numFmtId="0" fontId="9" fillId="0" borderId="0" xfId="69" applyFont="1" applyAlignment="1">
      <alignment horizontal="left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 quotePrefix="1">
      <alignment horizontal="right" vertical="top"/>
    </xf>
    <xf numFmtId="0" fontId="9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 applyBorder="1" applyAlignment="1" quotePrefix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1" xfId="54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72" applyFont="1" applyAlignment="1">
      <alignment horizontal="left" vertical="top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52" applyFont="1" applyBorder="1" applyAlignment="1">
      <alignment horizontal="right" vertical="top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0" xfId="68" applyFont="1" applyAlignment="1" quotePrefix="1">
      <alignment horizontal="left"/>
    </xf>
    <xf numFmtId="0" fontId="5" fillId="0" borderId="12" xfId="52" applyFont="1" applyBorder="1" applyAlignment="1">
      <alignment horizontal="left" vertical="top" wrapText="1"/>
      <protection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" fontId="6" fillId="0" borderId="1" xfId="52" applyNumberFormat="1" applyFont="1" applyBorder="1" applyAlignment="1">
      <alignment horizontal="right" vertical="top" wrapText="1"/>
      <protection/>
    </xf>
    <xf numFmtId="2" fontId="6" fillId="0" borderId="1" xfId="52" applyNumberFormat="1" applyFont="1" applyBorder="1" applyAlignment="1">
      <alignment horizontal="right" vertical="top" wrapText="1"/>
      <protection/>
    </xf>
    <xf numFmtId="0" fontId="6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5" fillId="0" borderId="1" xfId="52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 quotePrefix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0" xfId="68" applyFont="1" applyAlignment="1">
      <alignment horizontal="left"/>
    </xf>
    <xf numFmtId="0" fontId="9" fillId="0" borderId="11" xfId="68" applyFont="1" applyBorder="1">
      <alignment horizontal="right" indent="1"/>
    </xf>
    <xf numFmtId="0" fontId="9" fillId="0" borderId="13" xfId="68" applyFont="1" applyBorder="1">
      <alignment horizontal="right" inden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3" fontId="9" fillId="0" borderId="11" xfId="68" applyNumberFormat="1" applyFont="1" applyBorder="1">
      <alignment horizontal="right" inden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8"/>
  <sheetViews>
    <sheetView showGridLines="0" tabSelected="1" zoomScale="124" zoomScaleNormal="124" zoomScalePageLayoutView="0" workbookViewId="0" topLeftCell="A1">
      <selection activeCell="H15" sqref="H15:H18"/>
    </sheetView>
  </sheetViews>
  <sheetFormatPr defaultColWidth="9.00390625" defaultRowHeight="12.75"/>
  <cols>
    <col min="1" max="1" width="3.375" style="3" customWidth="1"/>
    <col min="2" max="2" width="14.875" style="3" customWidth="1"/>
    <col min="3" max="3" width="28.875" style="3" customWidth="1"/>
    <col min="4" max="4" width="6.875" style="3" customWidth="1"/>
    <col min="5" max="5" width="10.625" style="4" customWidth="1"/>
    <col min="6" max="6" width="9.625" style="4" customWidth="1"/>
    <col min="7" max="7" width="8.875" style="4" customWidth="1"/>
    <col min="8" max="8" width="20.25390625" style="4" customWidth="1"/>
    <col min="9" max="9" width="8.375" style="4" customWidth="1"/>
    <col min="10" max="10" width="8.125" style="4" customWidth="1"/>
    <col min="11" max="11" width="8.75390625" style="4" customWidth="1"/>
    <col min="12" max="12" width="8.625" style="4" customWidth="1"/>
    <col min="13" max="13" width="6.875" style="4" customWidth="1"/>
    <col min="14" max="14" width="6.25390625" style="2" customWidth="1"/>
    <col min="15" max="15" width="9.125" style="2" customWidth="1"/>
    <col min="16" max="16" width="19.75390625" style="2" customWidth="1"/>
    <col min="17" max="16384" width="9.125" style="2" customWidth="1"/>
  </cols>
  <sheetData>
    <row r="1" spans="1:14" s="1" customFormat="1" ht="12.75">
      <c r="A1" s="7"/>
      <c r="B1" s="8"/>
      <c r="C1" s="7"/>
      <c r="D1" s="9"/>
      <c r="E1" s="10"/>
      <c r="F1" s="57" t="s">
        <v>97</v>
      </c>
      <c r="G1" s="10"/>
      <c r="H1" s="11"/>
      <c r="I1" s="7"/>
      <c r="J1" s="7"/>
      <c r="K1" s="7"/>
      <c r="L1" s="7"/>
      <c r="M1" s="7"/>
      <c r="N1" s="12"/>
    </row>
    <row r="2" spans="1:14" s="1" customFormat="1" ht="12.75">
      <c r="A2" s="13" t="s">
        <v>107</v>
      </c>
      <c r="B2" s="8"/>
      <c r="C2" s="12"/>
      <c r="D2" s="11"/>
      <c r="E2" s="9"/>
      <c r="F2" s="14" t="s">
        <v>103</v>
      </c>
      <c r="G2" s="14"/>
      <c r="H2" s="12"/>
      <c r="I2" s="15"/>
      <c r="J2" s="13"/>
      <c r="K2" s="13" t="s">
        <v>108</v>
      </c>
      <c r="L2" s="13"/>
      <c r="M2" s="7"/>
      <c r="N2" s="12"/>
    </row>
    <row r="3" spans="1:14" s="1" customFormat="1" ht="12.75">
      <c r="A3" s="13" t="s">
        <v>109</v>
      </c>
      <c r="B3" s="12"/>
      <c r="C3" s="12"/>
      <c r="D3" s="12"/>
      <c r="E3" s="7"/>
      <c r="F3" s="7"/>
      <c r="G3" s="7"/>
      <c r="H3" s="7"/>
      <c r="I3" s="7"/>
      <c r="J3" s="13"/>
      <c r="K3" s="13" t="s">
        <v>102</v>
      </c>
      <c r="L3" s="13"/>
      <c r="M3" s="7"/>
      <c r="N3" s="12"/>
    </row>
    <row r="4" spans="1:14" s="1" customFormat="1" ht="12.75">
      <c r="A4" s="7"/>
      <c r="B4" s="7"/>
      <c r="C4" s="7"/>
      <c r="D4" s="12"/>
      <c r="E4" s="9"/>
      <c r="F4" s="16" t="s">
        <v>100</v>
      </c>
      <c r="G4" s="7"/>
      <c r="H4" s="12"/>
      <c r="I4" s="7"/>
      <c r="J4" s="7"/>
      <c r="K4" s="7"/>
      <c r="L4" s="7"/>
      <c r="M4" s="7"/>
      <c r="N4" s="12"/>
    </row>
    <row r="5" spans="1:14" s="1" customFormat="1" ht="12.75">
      <c r="A5" s="7"/>
      <c r="B5" s="7"/>
      <c r="C5" s="7"/>
      <c r="D5" s="12"/>
      <c r="E5" s="9"/>
      <c r="F5" s="7" t="s">
        <v>104</v>
      </c>
      <c r="G5" s="7"/>
      <c r="H5" s="12"/>
      <c r="I5" s="7"/>
      <c r="J5" s="7"/>
      <c r="K5" s="7"/>
      <c r="L5" s="7"/>
      <c r="M5" s="7"/>
      <c r="N5" s="12"/>
    </row>
    <row r="6" spans="1:14" s="1" customFormat="1" ht="12.75">
      <c r="A6" s="7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12"/>
    </row>
    <row r="7" spans="1:14" s="1" customFormat="1" ht="12.75">
      <c r="A7" s="7"/>
      <c r="B7" s="7"/>
      <c r="C7" s="17"/>
      <c r="D7" s="18" t="s">
        <v>101</v>
      </c>
      <c r="E7" s="19"/>
      <c r="F7" s="19"/>
      <c r="G7" s="19"/>
      <c r="H7" s="19"/>
      <c r="I7" s="15"/>
      <c r="J7" s="15"/>
      <c r="K7" s="15"/>
      <c r="L7" s="15"/>
      <c r="M7" s="7"/>
      <c r="N7" s="12"/>
    </row>
    <row r="8" spans="1:14" s="1" customFormat="1" ht="12.75">
      <c r="A8" s="7"/>
      <c r="B8" s="7"/>
      <c r="C8" s="7"/>
      <c r="D8" s="20" t="s">
        <v>122</v>
      </c>
      <c r="E8" s="14"/>
      <c r="F8" s="14"/>
      <c r="G8" s="14"/>
      <c r="H8" s="12"/>
      <c r="I8" s="15"/>
      <c r="J8" s="15"/>
      <c r="K8" s="15"/>
      <c r="L8" s="15"/>
      <c r="M8" s="7"/>
      <c r="N8" s="12"/>
    </row>
    <row r="9" spans="1:14" s="1" customFormat="1" ht="7.5" customHeight="1">
      <c r="A9" s="21"/>
      <c r="B9" s="21"/>
      <c r="C9" s="7"/>
      <c r="D9" s="12"/>
      <c r="E9" s="7"/>
      <c r="F9" s="7"/>
      <c r="G9" s="7"/>
      <c r="H9" s="7"/>
      <c r="I9" s="7"/>
      <c r="J9" s="7"/>
      <c r="K9" s="12"/>
      <c r="L9" s="12"/>
      <c r="M9" s="7"/>
      <c r="N9" s="12"/>
    </row>
    <row r="10" spans="1:14" ht="12.75">
      <c r="A10" s="87" t="s">
        <v>98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2.75">
      <c r="A11" s="22" t="s">
        <v>112</v>
      </c>
      <c r="B11" s="23"/>
      <c r="C11" s="99">
        <v>6334771</v>
      </c>
      <c r="D11" s="88"/>
      <c r="E11" s="88"/>
      <c r="F11" s="24" t="s">
        <v>111</v>
      </c>
      <c r="G11" s="25"/>
      <c r="H11" s="25"/>
      <c r="I11" s="25"/>
      <c r="J11" s="25"/>
      <c r="K11" s="85" t="s">
        <v>673</v>
      </c>
      <c r="L11" s="85"/>
      <c r="M11" s="85"/>
      <c r="N11" s="85"/>
    </row>
    <row r="12" spans="1:14" ht="12.75">
      <c r="A12" s="22" t="s">
        <v>121</v>
      </c>
      <c r="B12" s="23"/>
      <c r="C12" s="28"/>
      <c r="D12" s="89">
        <v>958449</v>
      </c>
      <c r="E12" s="89"/>
      <c r="F12" s="24" t="s">
        <v>111</v>
      </c>
      <c r="G12" s="25"/>
      <c r="H12" s="25"/>
      <c r="I12" s="25"/>
      <c r="J12" s="25"/>
      <c r="K12" s="85"/>
      <c r="L12" s="85"/>
      <c r="M12" s="85"/>
      <c r="N12" s="85"/>
    </row>
    <row r="13" spans="1:14" ht="12.75">
      <c r="A13" s="58" t="s">
        <v>99</v>
      </c>
      <c r="B13" s="27"/>
      <c r="C13" s="29"/>
      <c r="D13" s="30"/>
      <c r="E13" s="31"/>
      <c r="F13" s="32"/>
      <c r="G13" s="33"/>
      <c r="H13" s="33"/>
      <c r="I13" s="25"/>
      <c r="J13" s="25"/>
      <c r="K13" s="85"/>
      <c r="L13" s="85"/>
      <c r="M13" s="85"/>
      <c r="N13" s="85"/>
    </row>
    <row r="14" spans="1:14" ht="11.25" customHeight="1">
      <c r="A14" s="34"/>
      <c r="B14" s="24"/>
      <c r="C14" s="24"/>
      <c r="D14" s="34"/>
      <c r="E14" s="25"/>
      <c r="F14" s="25"/>
      <c r="G14" s="25"/>
      <c r="H14" s="28"/>
      <c r="I14" s="25"/>
      <c r="J14" s="25"/>
      <c r="K14" s="25"/>
      <c r="L14" s="25"/>
      <c r="M14" s="25"/>
      <c r="N14" s="27"/>
    </row>
    <row r="15" spans="1:14" ht="12.75" customHeight="1">
      <c r="A15" s="74" t="s">
        <v>105</v>
      </c>
      <c r="B15" s="74" t="s">
        <v>118</v>
      </c>
      <c r="C15" s="77" t="s">
        <v>123</v>
      </c>
      <c r="D15" s="77" t="s">
        <v>119</v>
      </c>
      <c r="E15" s="78" t="s">
        <v>124</v>
      </c>
      <c r="F15" s="94"/>
      <c r="G15" s="95"/>
      <c r="H15" s="77" t="s">
        <v>106</v>
      </c>
      <c r="I15" s="78" t="s">
        <v>125</v>
      </c>
      <c r="J15" s="79"/>
      <c r="K15" s="79"/>
      <c r="L15" s="80"/>
      <c r="M15" s="90" t="s">
        <v>120</v>
      </c>
      <c r="N15" s="91"/>
    </row>
    <row r="16" spans="1:14" s="5" customFormat="1" ht="38.25" customHeight="1">
      <c r="A16" s="75"/>
      <c r="B16" s="75"/>
      <c r="C16" s="75"/>
      <c r="D16" s="75"/>
      <c r="E16" s="96"/>
      <c r="F16" s="97"/>
      <c r="G16" s="98"/>
      <c r="H16" s="75"/>
      <c r="I16" s="81"/>
      <c r="J16" s="82"/>
      <c r="K16" s="82"/>
      <c r="L16" s="83"/>
      <c r="M16" s="92"/>
      <c r="N16" s="93"/>
    </row>
    <row r="17" spans="1:14" s="5" customFormat="1" ht="12.75" customHeight="1">
      <c r="A17" s="75"/>
      <c r="B17" s="75"/>
      <c r="C17" s="75"/>
      <c r="D17" s="75"/>
      <c r="E17" s="46" t="s">
        <v>114</v>
      </c>
      <c r="F17" s="46" t="s">
        <v>116</v>
      </c>
      <c r="G17" s="72" t="s">
        <v>126</v>
      </c>
      <c r="H17" s="75"/>
      <c r="I17" s="72" t="s">
        <v>114</v>
      </c>
      <c r="J17" s="72" t="s">
        <v>117</v>
      </c>
      <c r="K17" s="46" t="s">
        <v>116</v>
      </c>
      <c r="L17" s="72" t="s">
        <v>126</v>
      </c>
      <c r="M17" s="84" t="s">
        <v>110</v>
      </c>
      <c r="N17" s="72" t="s">
        <v>114</v>
      </c>
    </row>
    <row r="18" spans="1:14" s="5" customFormat="1" ht="11.25" customHeight="1">
      <c r="A18" s="76"/>
      <c r="B18" s="76"/>
      <c r="C18" s="76"/>
      <c r="D18" s="76"/>
      <c r="E18" s="47" t="s">
        <v>113</v>
      </c>
      <c r="F18" s="46" t="s">
        <v>115</v>
      </c>
      <c r="G18" s="73"/>
      <c r="H18" s="76"/>
      <c r="I18" s="73"/>
      <c r="J18" s="73"/>
      <c r="K18" s="46" t="s">
        <v>115</v>
      </c>
      <c r="L18" s="73"/>
      <c r="M18" s="73"/>
      <c r="N18" s="73"/>
    </row>
    <row r="19" spans="1:20" ht="12.7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6"/>
      <c r="P19" s="6"/>
      <c r="Q19" s="6"/>
      <c r="R19" s="6"/>
      <c r="S19" s="6"/>
      <c r="T19" s="6"/>
    </row>
    <row r="20" spans="1:14" ht="17.25" customHeight="1">
      <c r="A20" s="69" t="s">
        <v>128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52.5">
      <c r="A21" s="51">
        <v>1</v>
      </c>
      <c r="B21" s="52" t="s">
        <v>129</v>
      </c>
      <c r="C21" s="52" t="s">
        <v>130</v>
      </c>
      <c r="D21" s="51">
        <v>0.52</v>
      </c>
      <c r="E21" s="53" t="s">
        <v>131</v>
      </c>
      <c r="F21" s="53" t="s">
        <v>132</v>
      </c>
      <c r="G21" s="53" t="s">
        <v>133</v>
      </c>
      <c r="H21" s="54" t="s">
        <v>134</v>
      </c>
      <c r="I21" s="55">
        <v>1038</v>
      </c>
      <c r="J21" s="53">
        <v>611</v>
      </c>
      <c r="K21" s="53" t="s">
        <v>135</v>
      </c>
      <c r="L21" s="53" t="str">
        <f>IF(0.52*0=0," ",TEXT(,ROUND((0.52*0*1),2)))</f>
        <v> </v>
      </c>
      <c r="M21" s="53" t="s">
        <v>136</v>
      </c>
      <c r="N21" s="53" t="s">
        <v>137</v>
      </c>
    </row>
    <row r="22" spans="1:14" ht="52.5">
      <c r="A22" s="51">
        <v>2</v>
      </c>
      <c r="B22" s="52" t="s">
        <v>138</v>
      </c>
      <c r="C22" s="52" t="s">
        <v>139</v>
      </c>
      <c r="D22" s="51" t="s">
        <v>140</v>
      </c>
      <c r="E22" s="53" t="s">
        <v>141</v>
      </c>
      <c r="F22" s="53">
        <v>12.52</v>
      </c>
      <c r="G22" s="53" t="s">
        <v>133</v>
      </c>
      <c r="H22" s="54" t="s">
        <v>142</v>
      </c>
      <c r="I22" s="55">
        <v>86</v>
      </c>
      <c r="J22" s="53">
        <v>83</v>
      </c>
      <c r="K22" s="53">
        <v>3</v>
      </c>
      <c r="L22" s="53" t="str">
        <f>IF(0.0768*0=0," ",TEXT(,ROUND((0.0768*0*1),2)))</f>
        <v> </v>
      </c>
      <c r="M22" s="53">
        <v>8.58</v>
      </c>
      <c r="N22" s="53">
        <v>0.66</v>
      </c>
    </row>
    <row r="23" spans="1:14" ht="52.5">
      <c r="A23" s="51">
        <v>3</v>
      </c>
      <c r="B23" s="52" t="s">
        <v>143</v>
      </c>
      <c r="C23" s="52" t="s">
        <v>144</v>
      </c>
      <c r="D23" s="51" t="s">
        <v>145</v>
      </c>
      <c r="E23" s="53" t="s">
        <v>146</v>
      </c>
      <c r="F23" s="53" t="s">
        <v>147</v>
      </c>
      <c r="G23" s="53" t="s">
        <v>133</v>
      </c>
      <c r="H23" s="54" t="s">
        <v>148</v>
      </c>
      <c r="I23" s="55">
        <v>148</v>
      </c>
      <c r="J23" s="53">
        <v>120</v>
      </c>
      <c r="K23" s="53" t="s">
        <v>149</v>
      </c>
      <c r="L23" s="53" t="str">
        <f>IF(0.0616*0=0," ",TEXT(,ROUND((0.0616*0*1),2)))</f>
        <v> </v>
      </c>
      <c r="M23" s="53" t="s">
        <v>150</v>
      </c>
      <c r="N23" s="53" t="s">
        <v>151</v>
      </c>
    </row>
    <row r="24" spans="1:14" ht="52.5">
      <c r="A24" s="51">
        <v>4</v>
      </c>
      <c r="B24" s="52" t="s">
        <v>152</v>
      </c>
      <c r="C24" s="52" t="s">
        <v>153</v>
      </c>
      <c r="D24" s="51" t="s">
        <v>154</v>
      </c>
      <c r="E24" s="53" t="s">
        <v>155</v>
      </c>
      <c r="F24" s="53" t="s">
        <v>156</v>
      </c>
      <c r="G24" s="53" t="s">
        <v>133</v>
      </c>
      <c r="H24" s="54" t="s">
        <v>157</v>
      </c>
      <c r="I24" s="55">
        <v>631</v>
      </c>
      <c r="J24" s="53">
        <v>546</v>
      </c>
      <c r="K24" s="53" t="s">
        <v>158</v>
      </c>
      <c r="L24" s="53" t="str">
        <f>IF(0.0404*0=0," ",TEXT(,ROUND((0.0404*0*1),2)))</f>
        <v> </v>
      </c>
      <c r="M24" s="53" t="s">
        <v>159</v>
      </c>
      <c r="N24" s="53" t="s">
        <v>160</v>
      </c>
    </row>
    <row r="25" spans="1:14" ht="52.5">
      <c r="A25" s="51">
        <v>5</v>
      </c>
      <c r="B25" s="52" t="s">
        <v>161</v>
      </c>
      <c r="C25" s="52" t="s">
        <v>162</v>
      </c>
      <c r="D25" s="51" t="s">
        <v>163</v>
      </c>
      <c r="E25" s="53" t="s">
        <v>164</v>
      </c>
      <c r="F25" s="53">
        <v>41.43</v>
      </c>
      <c r="G25" s="53" t="s">
        <v>133</v>
      </c>
      <c r="H25" s="54" t="s">
        <v>142</v>
      </c>
      <c r="I25" s="55">
        <v>19986</v>
      </c>
      <c r="J25" s="53">
        <v>18694</v>
      </c>
      <c r="K25" s="53">
        <v>1292</v>
      </c>
      <c r="L25" s="53" t="str">
        <f>IF(10.3652*0=0," ",TEXT(,ROUND((10.3652*0*1),2)))</f>
        <v> </v>
      </c>
      <c r="M25" s="53">
        <v>14.38</v>
      </c>
      <c r="N25" s="53">
        <v>149.05</v>
      </c>
    </row>
    <row r="26" spans="1:14" ht="84">
      <c r="A26" s="51">
        <v>6</v>
      </c>
      <c r="B26" s="52" t="s">
        <v>165</v>
      </c>
      <c r="C26" s="52" t="s">
        <v>166</v>
      </c>
      <c r="D26" s="51">
        <v>18</v>
      </c>
      <c r="E26" s="53" t="s">
        <v>167</v>
      </c>
      <c r="F26" s="53">
        <v>4.38</v>
      </c>
      <c r="G26" s="53" t="s">
        <v>168</v>
      </c>
      <c r="H26" s="54" t="s">
        <v>169</v>
      </c>
      <c r="I26" s="55">
        <v>2545</v>
      </c>
      <c r="J26" s="53">
        <v>2330</v>
      </c>
      <c r="K26" s="53">
        <v>215</v>
      </c>
      <c r="L26" s="53" t="str">
        <f>IF(18*0=0," ",TEXT(,ROUND((18*0*5.87),2)))</f>
        <v> </v>
      </c>
      <c r="M26" s="53">
        <v>0.91</v>
      </c>
      <c r="N26" s="53">
        <v>16.38</v>
      </c>
    </row>
    <row r="27" spans="1:14" ht="94.5">
      <c r="A27" s="51">
        <v>7</v>
      </c>
      <c r="B27" s="52" t="s">
        <v>170</v>
      </c>
      <c r="C27" s="52" t="s">
        <v>171</v>
      </c>
      <c r="D27" s="51" t="s">
        <v>172</v>
      </c>
      <c r="E27" s="53" t="s">
        <v>173</v>
      </c>
      <c r="F27" s="53" t="s">
        <v>174</v>
      </c>
      <c r="G27" s="53" t="s">
        <v>175</v>
      </c>
      <c r="H27" s="54" t="s">
        <v>176</v>
      </c>
      <c r="I27" s="55">
        <v>167754</v>
      </c>
      <c r="J27" s="53">
        <v>69286</v>
      </c>
      <c r="K27" s="53" t="s">
        <v>177</v>
      </c>
      <c r="L27" s="53" t="str">
        <f>IF(2.8*2650.25=0," ",TEXT(,ROUND((2.8*2650.25*4.91),2)))</f>
        <v>36435.64</v>
      </c>
      <c r="M27" s="53" t="s">
        <v>178</v>
      </c>
      <c r="N27" s="53" t="s">
        <v>179</v>
      </c>
    </row>
    <row r="28" spans="1:14" ht="63">
      <c r="A28" s="51">
        <v>8</v>
      </c>
      <c r="B28" s="52" t="s">
        <v>180</v>
      </c>
      <c r="C28" s="52" t="s">
        <v>181</v>
      </c>
      <c r="D28" s="51">
        <v>2.16</v>
      </c>
      <c r="E28" s="53" t="s">
        <v>182</v>
      </c>
      <c r="F28" s="53" t="s">
        <v>183</v>
      </c>
      <c r="G28" s="53" t="s">
        <v>184</v>
      </c>
      <c r="H28" s="54" t="s">
        <v>185</v>
      </c>
      <c r="I28" s="55">
        <v>35135</v>
      </c>
      <c r="J28" s="53">
        <v>10281</v>
      </c>
      <c r="K28" s="53" t="s">
        <v>186</v>
      </c>
      <c r="L28" s="53" t="str">
        <f>IF(2.16*22.45=0," ",TEXT(,ROUND((2.16*22.45*4.36),2)))</f>
        <v>211.43</v>
      </c>
      <c r="M28" s="53" t="s">
        <v>187</v>
      </c>
      <c r="N28" s="53" t="s">
        <v>188</v>
      </c>
    </row>
    <row r="29" spans="1:14" ht="52.5">
      <c r="A29" s="51">
        <v>9</v>
      </c>
      <c r="B29" s="52" t="s">
        <v>189</v>
      </c>
      <c r="C29" s="52" t="s">
        <v>190</v>
      </c>
      <c r="D29" s="51">
        <v>10.01</v>
      </c>
      <c r="E29" s="53" t="s">
        <v>191</v>
      </c>
      <c r="F29" s="53" t="s">
        <v>192</v>
      </c>
      <c r="G29" s="53" t="s">
        <v>133</v>
      </c>
      <c r="H29" s="54" t="s">
        <v>193</v>
      </c>
      <c r="I29" s="55">
        <v>45543</v>
      </c>
      <c r="J29" s="53">
        <v>13278</v>
      </c>
      <c r="K29" s="53" t="s">
        <v>194</v>
      </c>
      <c r="L29" s="53" t="str">
        <f>IF(10.01*0=0," ",TEXT(,ROUND((10.01*0*1),2)))</f>
        <v> </v>
      </c>
      <c r="M29" s="53" t="s">
        <v>195</v>
      </c>
      <c r="N29" s="53" t="s">
        <v>196</v>
      </c>
    </row>
    <row r="30" spans="1:14" ht="52.5">
      <c r="A30" s="51">
        <v>10</v>
      </c>
      <c r="B30" s="52" t="s">
        <v>138</v>
      </c>
      <c r="C30" s="52" t="s">
        <v>139</v>
      </c>
      <c r="D30" s="51" t="s">
        <v>197</v>
      </c>
      <c r="E30" s="53" t="s">
        <v>141</v>
      </c>
      <c r="F30" s="53">
        <v>12.52</v>
      </c>
      <c r="G30" s="53" t="s">
        <v>133</v>
      </c>
      <c r="H30" s="54" t="s">
        <v>142</v>
      </c>
      <c r="I30" s="55">
        <v>2837</v>
      </c>
      <c r="J30" s="53">
        <v>2741</v>
      </c>
      <c r="K30" s="53">
        <v>96</v>
      </c>
      <c r="L30" s="53" t="str">
        <f>IF(2.547*0=0," ",TEXT(,ROUND((2.547*0*1),2)))</f>
        <v> </v>
      </c>
      <c r="M30" s="53">
        <v>8.58</v>
      </c>
      <c r="N30" s="53">
        <v>21.85</v>
      </c>
    </row>
    <row r="31" spans="1:14" ht="63">
      <c r="A31" s="51">
        <v>11</v>
      </c>
      <c r="B31" s="52" t="s">
        <v>198</v>
      </c>
      <c r="C31" s="52" t="s">
        <v>199</v>
      </c>
      <c r="D31" s="51">
        <v>5</v>
      </c>
      <c r="E31" s="53" t="s">
        <v>200</v>
      </c>
      <c r="F31" s="53"/>
      <c r="G31" s="53" t="s">
        <v>133</v>
      </c>
      <c r="H31" s="54" t="s">
        <v>201</v>
      </c>
      <c r="I31" s="55">
        <v>215</v>
      </c>
      <c r="J31" s="53">
        <v>215</v>
      </c>
      <c r="K31" s="53"/>
      <c r="L31" s="53" t="str">
        <f>IF(5*0=0," ",TEXT(,ROUND((5*0*1),2)))</f>
        <v> </v>
      </c>
      <c r="M31" s="53"/>
      <c r="N31" s="53"/>
    </row>
    <row r="32" spans="1:14" ht="63">
      <c r="A32" s="51">
        <v>12</v>
      </c>
      <c r="B32" s="52" t="s">
        <v>202</v>
      </c>
      <c r="C32" s="52" t="s">
        <v>203</v>
      </c>
      <c r="D32" s="51">
        <v>167</v>
      </c>
      <c r="E32" s="53">
        <v>3.28</v>
      </c>
      <c r="F32" s="53">
        <v>3.28</v>
      </c>
      <c r="G32" s="53" t="s">
        <v>133</v>
      </c>
      <c r="H32" s="54" t="s">
        <v>204</v>
      </c>
      <c r="I32" s="55">
        <v>6167</v>
      </c>
      <c r="J32" s="53"/>
      <c r="K32" s="53">
        <v>6167</v>
      </c>
      <c r="L32" s="53" t="str">
        <f>IF(167*0=0," ",TEXT(,ROUND((167*0*1),2)))</f>
        <v> </v>
      </c>
      <c r="M32" s="53"/>
      <c r="N32" s="53"/>
    </row>
    <row r="33" spans="1:14" ht="63">
      <c r="A33" s="51">
        <v>13</v>
      </c>
      <c r="B33" s="52" t="s">
        <v>205</v>
      </c>
      <c r="C33" s="52" t="s">
        <v>206</v>
      </c>
      <c r="D33" s="51">
        <v>172</v>
      </c>
      <c r="E33" s="53">
        <v>17.32</v>
      </c>
      <c r="F33" s="53">
        <v>17.32</v>
      </c>
      <c r="G33" s="53" t="s">
        <v>133</v>
      </c>
      <c r="H33" s="54" t="s">
        <v>207</v>
      </c>
      <c r="I33" s="55">
        <v>26067</v>
      </c>
      <c r="J33" s="53"/>
      <c r="K33" s="53">
        <v>26067</v>
      </c>
      <c r="L33" s="53" t="str">
        <f>IF(172*0=0," ",TEXT(,ROUND((172*0*1),2)))</f>
        <v> </v>
      </c>
      <c r="M33" s="53"/>
      <c r="N33" s="53"/>
    </row>
    <row r="34" spans="1:14" ht="17.25" customHeight="1">
      <c r="A34" s="69" t="s">
        <v>208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7.25" customHeight="1">
      <c r="A35" s="70" t="s">
        <v>209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ht="52.5">
      <c r="A36" s="51">
        <v>14</v>
      </c>
      <c r="B36" s="52" t="s">
        <v>210</v>
      </c>
      <c r="C36" s="52" t="s">
        <v>211</v>
      </c>
      <c r="D36" s="51">
        <v>7.91</v>
      </c>
      <c r="E36" s="53" t="s">
        <v>212</v>
      </c>
      <c r="F36" s="53" t="s">
        <v>213</v>
      </c>
      <c r="G36" s="53" t="s">
        <v>214</v>
      </c>
      <c r="H36" s="54" t="s">
        <v>215</v>
      </c>
      <c r="I36" s="55">
        <v>47835</v>
      </c>
      <c r="J36" s="53">
        <v>12099</v>
      </c>
      <c r="K36" s="53" t="s">
        <v>216</v>
      </c>
      <c r="L36" s="53" t="str">
        <f>IF(7.91*894.65=0," ",TEXT(,ROUND((7.91*894.65*4.4),2)))</f>
        <v>31137.4</v>
      </c>
      <c r="M36" s="53" t="s">
        <v>217</v>
      </c>
      <c r="N36" s="53" t="s">
        <v>218</v>
      </c>
    </row>
    <row r="37" spans="1:14" ht="52.5">
      <c r="A37" s="51">
        <v>15</v>
      </c>
      <c r="B37" s="52" t="s">
        <v>219</v>
      </c>
      <c r="C37" s="52" t="s">
        <v>220</v>
      </c>
      <c r="D37" s="51" t="s">
        <v>221</v>
      </c>
      <c r="E37" s="53" t="s">
        <v>222</v>
      </c>
      <c r="F37" s="53" t="s">
        <v>223</v>
      </c>
      <c r="G37" s="53" t="s">
        <v>224</v>
      </c>
      <c r="H37" s="54" t="s">
        <v>225</v>
      </c>
      <c r="I37" s="55">
        <v>10766</v>
      </c>
      <c r="J37" s="53">
        <v>4306</v>
      </c>
      <c r="K37" s="53" t="s">
        <v>226</v>
      </c>
      <c r="L37" s="53" t="str">
        <f>IF(0.99*831.97=0," ",TEXT(,ROUND((0.99*831.97*5.33),2)))</f>
        <v>4390.06</v>
      </c>
      <c r="M37" s="53" t="s">
        <v>227</v>
      </c>
      <c r="N37" s="53" t="s">
        <v>228</v>
      </c>
    </row>
    <row r="38" spans="1:14" ht="94.5">
      <c r="A38" s="51">
        <v>16</v>
      </c>
      <c r="B38" s="52" t="s">
        <v>229</v>
      </c>
      <c r="C38" s="52" t="s">
        <v>230</v>
      </c>
      <c r="D38" s="51" t="s">
        <v>221</v>
      </c>
      <c r="E38" s="53" t="s">
        <v>231</v>
      </c>
      <c r="F38" s="53" t="s">
        <v>232</v>
      </c>
      <c r="G38" s="53" t="s">
        <v>233</v>
      </c>
      <c r="H38" s="54" t="s">
        <v>225</v>
      </c>
      <c r="I38" s="55">
        <v>2334</v>
      </c>
      <c r="J38" s="53">
        <v>791</v>
      </c>
      <c r="K38" s="53" t="s">
        <v>234</v>
      </c>
      <c r="L38" s="53" t="str">
        <f>IF(0.99*265.1=0," ",TEXT(,ROUND((0.99*265.1*5.33),2)))</f>
        <v>1398.85</v>
      </c>
      <c r="M38" s="53" t="s">
        <v>235</v>
      </c>
      <c r="N38" s="53" t="s">
        <v>236</v>
      </c>
    </row>
    <row r="39" spans="1:14" ht="84">
      <c r="A39" s="51">
        <v>17</v>
      </c>
      <c r="B39" s="52" t="s">
        <v>237</v>
      </c>
      <c r="C39" s="52" t="s">
        <v>238</v>
      </c>
      <c r="D39" s="51" t="s">
        <v>239</v>
      </c>
      <c r="E39" s="53" t="s">
        <v>240</v>
      </c>
      <c r="F39" s="53" t="s">
        <v>241</v>
      </c>
      <c r="G39" s="53" t="s">
        <v>242</v>
      </c>
      <c r="H39" s="54" t="s">
        <v>243</v>
      </c>
      <c r="I39" s="55">
        <v>16854</v>
      </c>
      <c r="J39" s="53">
        <v>4557</v>
      </c>
      <c r="K39" s="53" t="s">
        <v>244</v>
      </c>
      <c r="L39" s="53" t="str">
        <f>IF(0.58*759.58=0," ",TEXT(,ROUND((0.58*759.58*5.16),2)))</f>
        <v>2273.27</v>
      </c>
      <c r="M39" s="53" t="s">
        <v>245</v>
      </c>
      <c r="N39" s="53" t="s">
        <v>246</v>
      </c>
    </row>
    <row r="40" spans="1:14" ht="42">
      <c r="A40" s="51">
        <v>18</v>
      </c>
      <c r="B40" s="52" t="s">
        <v>247</v>
      </c>
      <c r="C40" s="52" t="s">
        <v>248</v>
      </c>
      <c r="D40" s="51">
        <v>42</v>
      </c>
      <c r="E40" s="53">
        <v>128.27</v>
      </c>
      <c r="F40" s="53"/>
      <c r="G40" s="53" t="s">
        <v>249</v>
      </c>
      <c r="H40" s="54" t="s">
        <v>250</v>
      </c>
      <c r="I40" s="55">
        <v>27799</v>
      </c>
      <c r="J40" s="53"/>
      <c r="K40" s="53"/>
      <c r="L40" s="53" t="str">
        <f>IF(42*128.27=0," ",TEXT(,ROUND((42*128.27*5.16),2)))</f>
        <v>27798.67</v>
      </c>
      <c r="M40" s="53"/>
      <c r="N40" s="53"/>
    </row>
    <row r="41" spans="1:14" ht="42">
      <c r="A41" s="51">
        <v>19</v>
      </c>
      <c r="B41" s="52" t="s">
        <v>247</v>
      </c>
      <c r="C41" s="52" t="s">
        <v>251</v>
      </c>
      <c r="D41" s="51">
        <v>16</v>
      </c>
      <c r="E41" s="53">
        <v>256.54</v>
      </c>
      <c r="F41" s="53"/>
      <c r="G41" s="53" t="s">
        <v>252</v>
      </c>
      <c r="H41" s="54" t="s">
        <v>250</v>
      </c>
      <c r="I41" s="55">
        <v>21180</v>
      </c>
      <c r="J41" s="53"/>
      <c r="K41" s="53"/>
      <c r="L41" s="53" t="str">
        <f>IF(16*256.54=0," ",TEXT(,ROUND((16*256.54*5.16),2)))</f>
        <v>21179.94</v>
      </c>
      <c r="M41" s="53"/>
      <c r="N41" s="53"/>
    </row>
    <row r="42" spans="1:14" ht="105">
      <c r="A42" s="51">
        <v>20</v>
      </c>
      <c r="B42" s="52" t="s">
        <v>253</v>
      </c>
      <c r="C42" s="52" t="s">
        <v>254</v>
      </c>
      <c r="D42" s="51" t="s">
        <v>255</v>
      </c>
      <c r="E42" s="53" t="s">
        <v>256</v>
      </c>
      <c r="F42" s="53" t="s">
        <v>257</v>
      </c>
      <c r="G42" s="53" t="s">
        <v>258</v>
      </c>
      <c r="H42" s="54" t="s">
        <v>259</v>
      </c>
      <c r="I42" s="55">
        <v>71027</v>
      </c>
      <c r="J42" s="53">
        <v>33046</v>
      </c>
      <c r="K42" s="53" t="s">
        <v>260</v>
      </c>
      <c r="L42" s="53" t="str">
        <f>IF(10.807209*240.21=0," ",TEXT(,ROUND((10.807209*240.21*6.44),2)))</f>
        <v>16718.24</v>
      </c>
      <c r="M42" s="53" t="s">
        <v>261</v>
      </c>
      <c r="N42" s="53" t="s">
        <v>262</v>
      </c>
    </row>
    <row r="43" spans="1:14" ht="52.5">
      <c r="A43" s="51">
        <v>21</v>
      </c>
      <c r="B43" s="52" t="s">
        <v>263</v>
      </c>
      <c r="C43" s="52" t="s">
        <v>264</v>
      </c>
      <c r="D43" s="51" t="s">
        <v>265</v>
      </c>
      <c r="E43" s="53">
        <v>5989</v>
      </c>
      <c r="F43" s="53"/>
      <c r="G43" s="53" t="s">
        <v>266</v>
      </c>
      <c r="H43" s="54" t="s">
        <v>267</v>
      </c>
      <c r="I43" s="55">
        <v>273358</v>
      </c>
      <c r="J43" s="53"/>
      <c r="K43" s="53"/>
      <c r="L43" s="53" t="str">
        <f>IF(8.91296*5989=0," ",TEXT(,ROUND((8.91296*5989*5.121),2)))</f>
        <v>273357.53</v>
      </c>
      <c r="M43" s="53"/>
      <c r="N43" s="53"/>
    </row>
    <row r="44" spans="1:14" ht="52.5">
      <c r="A44" s="51">
        <v>22</v>
      </c>
      <c r="B44" s="52" t="s">
        <v>268</v>
      </c>
      <c r="C44" s="52" t="s">
        <v>269</v>
      </c>
      <c r="D44" s="51" t="s">
        <v>270</v>
      </c>
      <c r="E44" s="53">
        <v>5763</v>
      </c>
      <c r="F44" s="53"/>
      <c r="G44" s="53" t="s">
        <v>271</v>
      </c>
      <c r="H44" s="54" t="s">
        <v>272</v>
      </c>
      <c r="I44" s="55">
        <v>14030</v>
      </c>
      <c r="J44" s="53"/>
      <c r="K44" s="53"/>
      <c r="L44" s="53" t="str">
        <f>IF(0.557457*5763=0," ",TEXT(,ROUND((0.557457*5763*4.367),2)))</f>
        <v>14029.53</v>
      </c>
      <c r="M44" s="53"/>
      <c r="N44" s="53"/>
    </row>
    <row r="45" spans="1:14" ht="52.5">
      <c r="A45" s="51">
        <v>23</v>
      </c>
      <c r="B45" s="52" t="s">
        <v>273</v>
      </c>
      <c r="C45" s="52" t="s">
        <v>274</v>
      </c>
      <c r="D45" s="51" t="s">
        <v>275</v>
      </c>
      <c r="E45" s="53">
        <v>5636.21</v>
      </c>
      <c r="F45" s="53"/>
      <c r="G45" s="53" t="s">
        <v>276</v>
      </c>
      <c r="H45" s="54" t="s">
        <v>277</v>
      </c>
      <c r="I45" s="55">
        <v>29142</v>
      </c>
      <c r="J45" s="53"/>
      <c r="K45" s="53"/>
      <c r="L45" s="53" t="str">
        <f>IF(1.025492*5636.21=0," ",TEXT(,ROUND((1.025492*5636.21*5.042),2)))</f>
        <v>29142.2</v>
      </c>
      <c r="M45" s="53"/>
      <c r="N45" s="53"/>
    </row>
    <row r="46" spans="1:14" ht="52.5">
      <c r="A46" s="51">
        <v>24</v>
      </c>
      <c r="B46" s="52" t="s">
        <v>278</v>
      </c>
      <c r="C46" s="52" t="s">
        <v>279</v>
      </c>
      <c r="D46" s="51" t="s">
        <v>280</v>
      </c>
      <c r="E46" s="53">
        <v>5325</v>
      </c>
      <c r="F46" s="53"/>
      <c r="G46" s="53" t="s">
        <v>281</v>
      </c>
      <c r="H46" s="54" t="s">
        <v>282</v>
      </c>
      <c r="I46" s="55">
        <v>7649</v>
      </c>
      <c r="J46" s="53"/>
      <c r="K46" s="53"/>
      <c r="L46" s="53" t="str">
        <f>IF(0.30747*5325=0," ",TEXT(,ROUND((0.30747*5325*4.672),2)))</f>
        <v>7649.36</v>
      </c>
      <c r="M46" s="53"/>
      <c r="N46" s="53"/>
    </row>
    <row r="47" spans="1:14" ht="52.5">
      <c r="A47" s="51">
        <v>25</v>
      </c>
      <c r="B47" s="52" t="s">
        <v>283</v>
      </c>
      <c r="C47" s="52" t="s">
        <v>284</v>
      </c>
      <c r="D47" s="51">
        <v>0.00383</v>
      </c>
      <c r="E47" s="53">
        <v>5763</v>
      </c>
      <c r="F47" s="53"/>
      <c r="G47" s="53" t="s">
        <v>271</v>
      </c>
      <c r="H47" s="54" t="s">
        <v>285</v>
      </c>
      <c r="I47" s="55">
        <v>117</v>
      </c>
      <c r="J47" s="53"/>
      <c r="K47" s="53"/>
      <c r="L47" s="53" t="str">
        <f>IF(0.00383*5763=0," ",TEXT(,ROUND((0.00383*5763*5.298),2)))</f>
        <v>116.94</v>
      </c>
      <c r="M47" s="53"/>
      <c r="N47" s="53"/>
    </row>
    <row r="48" spans="1:14" ht="52.5">
      <c r="A48" s="51">
        <v>26</v>
      </c>
      <c r="B48" s="52" t="s">
        <v>286</v>
      </c>
      <c r="C48" s="52" t="s">
        <v>287</v>
      </c>
      <c r="D48" s="51" t="s">
        <v>288</v>
      </c>
      <c r="E48" s="53" t="s">
        <v>289</v>
      </c>
      <c r="F48" s="53" t="s">
        <v>290</v>
      </c>
      <c r="G48" s="53" t="s">
        <v>291</v>
      </c>
      <c r="H48" s="54" t="s">
        <v>292</v>
      </c>
      <c r="I48" s="55">
        <v>4429</v>
      </c>
      <c r="J48" s="53">
        <v>2174</v>
      </c>
      <c r="K48" s="53" t="s">
        <v>293</v>
      </c>
      <c r="L48" s="53" t="str">
        <f>IF(2.3908*202.72=0," ",TEXT(,ROUND((2.3908*202.72*4.17),2)))</f>
        <v>2021.04</v>
      </c>
      <c r="M48" s="53" t="s">
        <v>294</v>
      </c>
      <c r="N48" s="53" t="s">
        <v>295</v>
      </c>
    </row>
    <row r="49" spans="1:14" ht="17.25" customHeight="1">
      <c r="A49" s="70" t="s">
        <v>296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ht="52.5">
      <c r="A50" s="51">
        <v>27</v>
      </c>
      <c r="B50" s="52" t="s">
        <v>297</v>
      </c>
      <c r="C50" s="52" t="s">
        <v>298</v>
      </c>
      <c r="D50" s="51" t="s">
        <v>288</v>
      </c>
      <c r="E50" s="53" t="s">
        <v>299</v>
      </c>
      <c r="F50" s="53" t="s">
        <v>300</v>
      </c>
      <c r="G50" s="53" t="s">
        <v>301</v>
      </c>
      <c r="H50" s="54" t="s">
        <v>302</v>
      </c>
      <c r="I50" s="55">
        <v>4460</v>
      </c>
      <c r="J50" s="53">
        <v>1336</v>
      </c>
      <c r="K50" s="53" t="s">
        <v>303</v>
      </c>
      <c r="L50" s="53" t="str">
        <f>IF(2.3908*281.28=0," ",TEXT(,ROUND((2.3908*281.28*4.42),2)))</f>
        <v>2972.38</v>
      </c>
      <c r="M50" s="53" t="s">
        <v>304</v>
      </c>
      <c r="N50" s="53" t="s">
        <v>305</v>
      </c>
    </row>
    <row r="51" spans="1:14" ht="52.5">
      <c r="A51" s="51">
        <v>28</v>
      </c>
      <c r="B51" s="52" t="s">
        <v>306</v>
      </c>
      <c r="C51" s="52" t="s">
        <v>307</v>
      </c>
      <c r="D51" s="51">
        <v>-0.04543</v>
      </c>
      <c r="E51" s="53">
        <v>14312.87</v>
      </c>
      <c r="F51" s="53"/>
      <c r="G51" s="53" t="s">
        <v>308</v>
      </c>
      <c r="H51" s="54" t="s">
        <v>309</v>
      </c>
      <c r="I51" s="55">
        <v>-2810</v>
      </c>
      <c r="J51" s="53"/>
      <c r="K51" s="53"/>
      <c r="L51" s="53" t="str">
        <f>IF(-0.04543*14312.87=0," ",TEXT(,ROUND((-0.04543*14312.87*4.321),2)))</f>
        <v>-2809.66</v>
      </c>
      <c r="M51" s="53"/>
      <c r="N51" s="53"/>
    </row>
    <row r="52" spans="1:14" ht="21">
      <c r="A52" s="51">
        <v>29</v>
      </c>
      <c r="B52" s="52" t="s">
        <v>310</v>
      </c>
      <c r="C52" s="52" t="s">
        <v>311</v>
      </c>
      <c r="D52" s="51">
        <v>520.41</v>
      </c>
      <c r="E52" s="53">
        <v>42.7</v>
      </c>
      <c r="F52" s="53"/>
      <c r="G52" s="53" t="s">
        <v>312</v>
      </c>
      <c r="H52" s="54" t="s">
        <v>250</v>
      </c>
      <c r="I52" s="55">
        <v>114662</v>
      </c>
      <c r="J52" s="53"/>
      <c r="K52" s="53"/>
      <c r="L52" s="53" t="str">
        <f>IF(520.41*42.7=0," ",TEXT(,ROUND((520.41*42.7*5.16),2)))</f>
        <v>114662.98</v>
      </c>
      <c r="M52" s="53"/>
      <c r="N52" s="53"/>
    </row>
    <row r="53" spans="1:14" ht="17.25" customHeight="1">
      <c r="A53" s="70" t="s">
        <v>313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52.5">
      <c r="A54" s="51">
        <v>30</v>
      </c>
      <c r="B54" s="52" t="s">
        <v>314</v>
      </c>
      <c r="C54" s="52" t="s">
        <v>315</v>
      </c>
      <c r="D54" s="51">
        <v>56.13</v>
      </c>
      <c r="E54" s="53" t="s">
        <v>316</v>
      </c>
      <c r="F54" s="53" t="s">
        <v>317</v>
      </c>
      <c r="G54" s="53" t="s">
        <v>318</v>
      </c>
      <c r="H54" s="54" t="s">
        <v>319</v>
      </c>
      <c r="I54" s="55">
        <v>661525</v>
      </c>
      <c r="J54" s="53">
        <v>207789</v>
      </c>
      <c r="K54" s="53" t="s">
        <v>320</v>
      </c>
      <c r="L54" s="53" t="str">
        <f>IF(56.13*2062.26=0," ",TEXT(,ROUND((56.13*2062.26*3.69),2)))</f>
        <v>427134.67</v>
      </c>
      <c r="M54" s="53" t="s">
        <v>321</v>
      </c>
      <c r="N54" s="53" t="s">
        <v>322</v>
      </c>
    </row>
    <row r="55" spans="1:14" ht="17.25" customHeight="1">
      <c r="A55" s="70" t="s">
        <v>323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ht="52.5">
      <c r="A56" s="51">
        <v>31</v>
      </c>
      <c r="B56" s="52" t="s">
        <v>324</v>
      </c>
      <c r="C56" s="52" t="s">
        <v>325</v>
      </c>
      <c r="D56" s="51" t="s">
        <v>326</v>
      </c>
      <c r="E56" s="53" t="s">
        <v>327</v>
      </c>
      <c r="F56" s="53" t="s">
        <v>328</v>
      </c>
      <c r="G56" s="53" t="s">
        <v>329</v>
      </c>
      <c r="H56" s="54" t="s">
        <v>330</v>
      </c>
      <c r="I56" s="55">
        <v>114927</v>
      </c>
      <c r="J56" s="53">
        <v>28338</v>
      </c>
      <c r="K56" s="53" t="s">
        <v>331</v>
      </c>
      <c r="L56" s="53" t="str">
        <f>IF(6.973*2198.68=0," ",TEXT(,ROUND((6.973*2198.68*5.47),2)))</f>
        <v>83862.73</v>
      </c>
      <c r="M56" s="53" t="s">
        <v>332</v>
      </c>
      <c r="N56" s="53" t="s">
        <v>333</v>
      </c>
    </row>
    <row r="57" spans="1:14" ht="63">
      <c r="A57" s="51">
        <v>32</v>
      </c>
      <c r="B57" s="52" t="s">
        <v>334</v>
      </c>
      <c r="C57" s="52" t="s">
        <v>335</v>
      </c>
      <c r="D57" s="51" t="s">
        <v>336</v>
      </c>
      <c r="E57" s="53" t="s">
        <v>337</v>
      </c>
      <c r="F57" s="53" t="s">
        <v>338</v>
      </c>
      <c r="G57" s="53" t="s">
        <v>339</v>
      </c>
      <c r="H57" s="54" t="s">
        <v>340</v>
      </c>
      <c r="I57" s="55">
        <v>79128</v>
      </c>
      <c r="J57" s="53">
        <v>19295</v>
      </c>
      <c r="K57" s="53" t="s">
        <v>341</v>
      </c>
      <c r="L57" s="53" t="str">
        <f>IF(7.07852*1570.73=0," ",TEXT(,ROUND((7.07852*1570.73*5.22),2)))</f>
        <v>58038.28</v>
      </c>
      <c r="M57" s="53" t="s">
        <v>342</v>
      </c>
      <c r="N57" s="53" t="s">
        <v>343</v>
      </c>
    </row>
    <row r="58" spans="1:14" ht="17.25" customHeight="1">
      <c r="A58" s="70" t="s">
        <v>344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73.5">
      <c r="A59" s="51">
        <v>33</v>
      </c>
      <c r="B59" s="52" t="s">
        <v>345</v>
      </c>
      <c r="C59" s="52" t="s">
        <v>346</v>
      </c>
      <c r="D59" s="51" t="s">
        <v>347</v>
      </c>
      <c r="E59" s="53" t="s">
        <v>348</v>
      </c>
      <c r="F59" s="53" t="s">
        <v>349</v>
      </c>
      <c r="G59" s="53" t="s">
        <v>350</v>
      </c>
      <c r="H59" s="54" t="s">
        <v>351</v>
      </c>
      <c r="I59" s="55">
        <v>153155</v>
      </c>
      <c r="J59" s="53">
        <v>38261</v>
      </c>
      <c r="K59" s="53" t="s">
        <v>352</v>
      </c>
      <c r="L59" s="53" t="str">
        <f>IF(49.6323*176.17=0," ",TEXT(,ROUND((49.6323*176.17*10.77),2)))</f>
        <v>94169.89</v>
      </c>
      <c r="M59" s="53" t="s">
        <v>353</v>
      </c>
      <c r="N59" s="53" t="s">
        <v>354</v>
      </c>
    </row>
    <row r="60" spans="1:14" ht="17.25" customHeight="1">
      <c r="A60" s="70" t="s">
        <v>355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ht="52.5">
      <c r="A61" s="51">
        <v>34</v>
      </c>
      <c r="B61" s="52" t="s">
        <v>356</v>
      </c>
      <c r="C61" s="52" t="s">
        <v>357</v>
      </c>
      <c r="D61" s="51">
        <v>12</v>
      </c>
      <c r="E61" s="53" t="s">
        <v>358</v>
      </c>
      <c r="F61" s="53" t="s">
        <v>359</v>
      </c>
      <c r="G61" s="53" t="s">
        <v>360</v>
      </c>
      <c r="H61" s="54" t="s">
        <v>361</v>
      </c>
      <c r="I61" s="55">
        <v>35511</v>
      </c>
      <c r="J61" s="53">
        <v>12549</v>
      </c>
      <c r="K61" s="53" t="s">
        <v>362</v>
      </c>
      <c r="L61" s="53" t="str">
        <f>IF(12*300.2=0," ",TEXT(,ROUND((12*300.2*5.44),2)))</f>
        <v>19597.06</v>
      </c>
      <c r="M61" s="53" t="s">
        <v>363</v>
      </c>
      <c r="N61" s="53" t="s">
        <v>364</v>
      </c>
    </row>
    <row r="62" spans="1:14" ht="52.5">
      <c r="A62" s="51">
        <v>35</v>
      </c>
      <c r="B62" s="52" t="s">
        <v>365</v>
      </c>
      <c r="C62" s="52" t="s">
        <v>366</v>
      </c>
      <c r="D62" s="51">
        <v>12</v>
      </c>
      <c r="E62" s="53">
        <v>13.42</v>
      </c>
      <c r="F62" s="53"/>
      <c r="G62" s="53" t="s">
        <v>367</v>
      </c>
      <c r="H62" s="54" t="s">
        <v>368</v>
      </c>
      <c r="I62" s="55">
        <v>312</v>
      </c>
      <c r="J62" s="53"/>
      <c r="K62" s="53"/>
      <c r="L62" s="53" t="str">
        <f>IF(12*13.42=0," ",TEXT(,ROUND((12*13.42*1.937),2)))</f>
        <v>311.93</v>
      </c>
      <c r="M62" s="53"/>
      <c r="N62" s="53"/>
    </row>
    <row r="63" spans="1:14" ht="52.5">
      <c r="A63" s="51">
        <v>36</v>
      </c>
      <c r="B63" s="52" t="s">
        <v>369</v>
      </c>
      <c r="C63" s="52" t="s">
        <v>370</v>
      </c>
      <c r="D63" s="51">
        <v>24</v>
      </c>
      <c r="E63" s="53">
        <v>3.74</v>
      </c>
      <c r="F63" s="53"/>
      <c r="G63" s="53" t="s">
        <v>371</v>
      </c>
      <c r="H63" s="54" t="s">
        <v>372</v>
      </c>
      <c r="I63" s="55">
        <v>209</v>
      </c>
      <c r="J63" s="53"/>
      <c r="K63" s="53"/>
      <c r="L63" s="53" t="str">
        <f>IF(24*3.74=0," ",TEXT(,ROUND((24*3.74*2.326),2)))</f>
        <v>208.78</v>
      </c>
      <c r="M63" s="53"/>
      <c r="N63" s="53"/>
    </row>
    <row r="64" spans="1:14" ht="63">
      <c r="A64" s="51">
        <v>37</v>
      </c>
      <c r="B64" s="52" t="s">
        <v>373</v>
      </c>
      <c r="C64" s="52" t="s">
        <v>374</v>
      </c>
      <c r="D64" s="51" t="s">
        <v>375</v>
      </c>
      <c r="E64" s="53" t="s">
        <v>376</v>
      </c>
      <c r="F64" s="53" t="s">
        <v>377</v>
      </c>
      <c r="G64" s="53" t="s">
        <v>378</v>
      </c>
      <c r="H64" s="54" t="s">
        <v>379</v>
      </c>
      <c r="I64" s="55">
        <v>33460</v>
      </c>
      <c r="J64" s="53">
        <v>12805</v>
      </c>
      <c r="K64" s="53" t="s">
        <v>380</v>
      </c>
      <c r="L64" s="53" t="str">
        <f>IF(0.72*8890.58=0," ",TEXT(,ROUND((0.72*8890.58*3.19),2)))</f>
        <v>20419.88</v>
      </c>
      <c r="M64" s="53" t="s">
        <v>381</v>
      </c>
      <c r="N64" s="53" t="s">
        <v>382</v>
      </c>
    </row>
    <row r="65" spans="1:14" ht="17.25" customHeight="1">
      <c r="A65" s="70" t="s">
        <v>383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1:14" ht="84">
      <c r="A66" s="51">
        <v>38</v>
      </c>
      <c r="B66" s="52" t="s">
        <v>384</v>
      </c>
      <c r="C66" s="52" t="s">
        <v>385</v>
      </c>
      <c r="D66" s="51">
        <v>5.76</v>
      </c>
      <c r="E66" s="53" t="s">
        <v>386</v>
      </c>
      <c r="F66" s="53">
        <v>5.23</v>
      </c>
      <c r="G66" s="53" t="s">
        <v>387</v>
      </c>
      <c r="H66" s="54" t="s">
        <v>388</v>
      </c>
      <c r="I66" s="55">
        <v>13505</v>
      </c>
      <c r="J66" s="53">
        <v>3635</v>
      </c>
      <c r="K66" s="53">
        <v>303</v>
      </c>
      <c r="L66" s="53" t="str">
        <f>IF(5.76*398.29=0," ",TEXT(,ROUND((5.76*398.29*4.17),2)))</f>
        <v>9566.61</v>
      </c>
      <c r="M66" s="53">
        <v>4.08</v>
      </c>
      <c r="N66" s="53">
        <v>23.5</v>
      </c>
    </row>
    <row r="67" spans="1:14" ht="73.5">
      <c r="A67" s="51">
        <v>39</v>
      </c>
      <c r="B67" s="52" t="s">
        <v>389</v>
      </c>
      <c r="C67" s="52" t="s">
        <v>390</v>
      </c>
      <c r="D67" s="51" t="s">
        <v>391</v>
      </c>
      <c r="E67" s="53" t="s">
        <v>392</v>
      </c>
      <c r="F67" s="53" t="s">
        <v>393</v>
      </c>
      <c r="G67" s="53" t="s">
        <v>394</v>
      </c>
      <c r="H67" s="54" t="s">
        <v>395</v>
      </c>
      <c r="I67" s="55">
        <v>13289</v>
      </c>
      <c r="J67" s="53">
        <v>912</v>
      </c>
      <c r="K67" s="53" t="s">
        <v>396</v>
      </c>
      <c r="L67" s="53" t="str">
        <f>IF(0.96*3032.91=0," ",TEXT(,ROUND((0.96*3032.91*4.08),2)))</f>
        <v>11879.3</v>
      </c>
      <c r="M67" s="53" t="s">
        <v>397</v>
      </c>
      <c r="N67" s="53" t="s">
        <v>398</v>
      </c>
    </row>
    <row r="68" spans="1:14" ht="84">
      <c r="A68" s="51">
        <v>40</v>
      </c>
      <c r="B68" s="52" t="s">
        <v>399</v>
      </c>
      <c r="C68" s="52" t="s">
        <v>400</v>
      </c>
      <c r="D68" s="51">
        <v>-0.288</v>
      </c>
      <c r="E68" s="53">
        <v>10045</v>
      </c>
      <c r="F68" s="53"/>
      <c r="G68" s="53" t="s">
        <v>401</v>
      </c>
      <c r="H68" s="54" t="s">
        <v>402</v>
      </c>
      <c r="I68" s="55">
        <v>-11821</v>
      </c>
      <c r="J68" s="53"/>
      <c r="K68" s="53"/>
      <c r="L68" s="53" t="str">
        <f>IF(-0.288*10045=0," ",TEXT(,ROUND((-0.288*10045*4.086),2)))</f>
        <v>-11820.63</v>
      </c>
      <c r="M68" s="53"/>
      <c r="N68" s="53"/>
    </row>
    <row r="69" spans="1:14" ht="52.5">
      <c r="A69" s="51">
        <v>41</v>
      </c>
      <c r="B69" s="52" t="s">
        <v>403</v>
      </c>
      <c r="C69" s="52" t="s">
        <v>404</v>
      </c>
      <c r="D69" s="51">
        <v>96</v>
      </c>
      <c r="E69" s="53">
        <v>21.98</v>
      </c>
      <c r="F69" s="53"/>
      <c r="G69" s="53" t="s">
        <v>405</v>
      </c>
      <c r="H69" s="54" t="s">
        <v>406</v>
      </c>
      <c r="I69" s="55">
        <v>7014</v>
      </c>
      <c r="J69" s="53"/>
      <c r="K69" s="53"/>
      <c r="L69" s="53" t="str">
        <f>IF(96*21.98=0," ",TEXT(,ROUND((96*21.98*3.324),2)))</f>
        <v>7013.91</v>
      </c>
      <c r="M69" s="53"/>
      <c r="N69" s="53"/>
    </row>
    <row r="70" spans="1:14" ht="52.5">
      <c r="A70" s="51">
        <v>42</v>
      </c>
      <c r="B70" s="52" t="s">
        <v>407</v>
      </c>
      <c r="C70" s="52" t="s">
        <v>408</v>
      </c>
      <c r="D70" s="51">
        <v>33.6</v>
      </c>
      <c r="E70" s="53">
        <v>10.67</v>
      </c>
      <c r="F70" s="53"/>
      <c r="G70" s="53" t="s">
        <v>409</v>
      </c>
      <c r="H70" s="54" t="s">
        <v>410</v>
      </c>
      <c r="I70" s="55">
        <v>1315</v>
      </c>
      <c r="J70" s="53"/>
      <c r="K70" s="53"/>
      <c r="L70" s="53" t="str">
        <f>IF(33.6*10.67=0," ",TEXT(,ROUND((33.6*10.67*3.669),2)))</f>
        <v>1315.38</v>
      </c>
      <c r="M70" s="53"/>
      <c r="N70" s="53"/>
    </row>
    <row r="71" spans="1:14" ht="52.5">
      <c r="A71" s="51">
        <v>43</v>
      </c>
      <c r="B71" s="52" t="s">
        <v>286</v>
      </c>
      <c r="C71" s="52" t="s">
        <v>287</v>
      </c>
      <c r="D71" s="51" t="s">
        <v>411</v>
      </c>
      <c r="E71" s="53" t="s">
        <v>289</v>
      </c>
      <c r="F71" s="53" t="s">
        <v>290</v>
      </c>
      <c r="G71" s="53" t="s">
        <v>291</v>
      </c>
      <c r="H71" s="54" t="s">
        <v>292</v>
      </c>
      <c r="I71" s="55">
        <v>329</v>
      </c>
      <c r="J71" s="53">
        <v>161</v>
      </c>
      <c r="K71" s="53">
        <v>17</v>
      </c>
      <c r="L71" s="53" t="str">
        <f>IF(0.1776*202.72=0," ",TEXT(,ROUND((0.1776*202.72*4.17),2)))</f>
        <v>150.13</v>
      </c>
      <c r="M71" s="53" t="s">
        <v>294</v>
      </c>
      <c r="N71" s="53">
        <v>0.94</v>
      </c>
    </row>
    <row r="72" spans="1:14" ht="73.5">
      <c r="A72" s="51">
        <v>44</v>
      </c>
      <c r="B72" s="52" t="s">
        <v>297</v>
      </c>
      <c r="C72" s="52" t="s">
        <v>412</v>
      </c>
      <c r="D72" s="51" t="s">
        <v>411</v>
      </c>
      <c r="E72" s="53" t="s">
        <v>299</v>
      </c>
      <c r="F72" s="53" t="s">
        <v>300</v>
      </c>
      <c r="G72" s="53" t="s">
        <v>301</v>
      </c>
      <c r="H72" s="54" t="s">
        <v>302</v>
      </c>
      <c r="I72" s="55">
        <v>663</v>
      </c>
      <c r="J72" s="53">
        <v>198</v>
      </c>
      <c r="K72" s="53" t="s">
        <v>413</v>
      </c>
      <c r="L72" s="53" t="str">
        <f>IF(0.1776*562.56=0," ",TEXT(,ROUND((0.1776*562.56*4.42),2)))</f>
        <v>441.61</v>
      </c>
      <c r="M72" s="53" t="s">
        <v>414</v>
      </c>
      <c r="N72" s="53">
        <v>1.36</v>
      </c>
    </row>
    <row r="73" spans="1:14" ht="17.25" customHeight="1">
      <c r="A73" s="69" t="s">
        <v>415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ht="17.25" customHeight="1">
      <c r="A74" s="70" t="s">
        <v>416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ht="52.5">
      <c r="A75" s="51">
        <v>45</v>
      </c>
      <c r="B75" s="52" t="s">
        <v>417</v>
      </c>
      <c r="C75" s="52" t="s">
        <v>418</v>
      </c>
      <c r="D75" s="51" t="s">
        <v>419</v>
      </c>
      <c r="E75" s="53" t="s">
        <v>420</v>
      </c>
      <c r="F75" s="53">
        <v>79.81</v>
      </c>
      <c r="G75" s="53" t="s">
        <v>421</v>
      </c>
      <c r="H75" s="54" t="s">
        <v>422</v>
      </c>
      <c r="I75" s="55">
        <v>87129</v>
      </c>
      <c r="J75" s="53">
        <v>39618</v>
      </c>
      <c r="K75" s="53">
        <v>1756</v>
      </c>
      <c r="L75" s="53" t="str">
        <f>IF(1.7564*4013.92=0," ",TEXT(,ROUND((1.7564*4013.92*6.49),2)))</f>
        <v>45754.82</v>
      </c>
      <c r="M75" s="53">
        <v>143</v>
      </c>
      <c r="N75" s="53">
        <v>251.17</v>
      </c>
    </row>
    <row r="76" spans="1:14" ht="52.5">
      <c r="A76" s="51">
        <v>46</v>
      </c>
      <c r="B76" s="52" t="s">
        <v>423</v>
      </c>
      <c r="C76" s="52" t="s">
        <v>424</v>
      </c>
      <c r="D76" s="51" t="s">
        <v>425</v>
      </c>
      <c r="E76" s="53" t="s">
        <v>426</v>
      </c>
      <c r="F76" s="53" t="s">
        <v>427</v>
      </c>
      <c r="G76" s="53" t="s">
        <v>428</v>
      </c>
      <c r="H76" s="54" t="s">
        <v>429</v>
      </c>
      <c r="I76" s="55">
        <v>14013</v>
      </c>
      <c r="J76" s="53">
        <v>12989</v>
      </c>
      <c r="K76" s="53" t="s">
        <v>430</v>
      </c>
      <c r="L76" s="53" t="str">
        <f>IF(2.7975*13.36=0," ",TEXT(,ROUND((2.7975*13.36*2.91),2)))</f>
        <v>108.76</v>
      </c>
      <c r="M76" s="53" t="s">
        <v>431</v>
      </c>
      <c r="N76" s="53" t="s">
        <v>432</v>
      </c>
    </row>
    <row r="77" spans="1:14" ht="52.5">
      <c r="A77" s="51">
        <v>47</v>
      </c>
      <c r="B77" s="52" t="s">
        <v>433</v>
      </c>
      <c r="C77" s="52" t="s">
        <v>434</v>
      </c>
      <c r="D77" s="51" t="s">
        <v>435</v>
      </c>
      <c r="E77" s="53">
        <v>10675.31</v>
      </c>
      <c r="F77" s="53"/>
      <c r="G77" s="53" t="s">
        <v>436</v>
      </c>
      <c r="H77" s="54" t="s">
        <v>437</v>
      </c>
      <c r="I77" s="55">
        <v>59770</v>
      </c>
      <c r="J77" s="53"/>
      <c r="K77" s="53"/>
      <c r="L77" s="53" t="str">
        <f>IF(1.72326*10675.31=0," ",TEXT(,ROUND((1.72326*10675.31*3.249),2)))</f>
        <v>59769.69</v>
      </c>
      <c r="M77" s="53"/>
      <c r="N77" s="53"/>
    </row>
    <row r="78" spans="1:14" ht="63">
      <c r="A78" s="51">
        <v>48</v>
      </c>
      <c r="B78" s="52" t="s">
        <v>373</v>
      </c>
      <c r="C78" s="52" t="s">
        <v>438</v>
      </c>
      <c r="D78" s="51" t="s">
        <v>439</v>
      </c>
      <c r="E78" s="53" t="s">
        <v>376</v>
      </c>
      <c r="F78" s="53" t="s">
        <v>377</v>
      </c>
      <c r="G78" s="53" t="s">
        <v>378</v>
      </c>
      <c r="H78" s="54" t="s">
        <v>379</v>
      </c>
      <c r="I78" s="55">
        <v>194926</v>
      </c>
      <c r="J78" s="53">
        <v>74597</v>
      </c>
      <c r="K78" s="53" t="s">
        <v>440</v>
      </c>
      <c r="L78" s="53" t="str">
        <f>IF(4.19444*8890.58=0," ",TEXT(,ROUND((4.19444*8890.58*3.19),2)))</f>
        <v>118958.3</v>
      </c>
      <c r="M78" s="53" t="s">
        <v>381</v>
      </c>
      <c r="N78" s="53" t="s">
        <v>441</v>
      </c>
    </row>
    <row r="79" spans="1:14" ht="17.25" customHeight="1">
      <c r="A79" s="70" t="s">
        <v>442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ht="63">
      <c r="A80" s="51">
        <v>49</v>
      </c>
      <c r="B80" s="52" t="s">
        <v>443</v>
      </c>
      <c r="C80" s="52" t="s">
        <v>444</v>
      </c>
      <c r="D80" s="51" t="s">
        <v>445</v>
      </c>
      <c r="E80" s="53" t="s">
        <v>446</v>
      </c>
      <c r="F80" s="53">
        <v>21.79</v>
      </c>
      <c r="G80" s="53" t="s">
        <v>447</v>
      </c>
      <c r="H80" s="54" t="s">
        <v>448</v>
      </c>
      <c r="I80" s="55">
        <v>69488</v>
      </c>
      <c r="J80" s="53">
        <v>33134</v>
      </c>
      <c r="K80" s="53">
        <v>3911</v>
      </c>
      <c r="L80" s="53" t="str">
        <f>IF(14.276*1385.68=0," ",TEXT(,ROUND((14.276*1385.68*1.64),2)))</f>
        <v>32442.43</v>
      </c>
      <c r="M80" s="53">
        <v>14.36</v>
      </c>
      <c r="N80" s="53">
        <v>205</v>
      </c>
    </row>
    <row r="81" spans="1:14" ht="52.5">
      <c r="A81" s="51">
        <v>50</v>
      </c>
      <c r="B81" s="52" t="s">
        <v>449</v>
      </c>
      <c r="C81" s="52" t="s">
        <v>450</v>
      </c>
      <c r="D81" s="51">
        <v>-1642</v>
      </c>
      <c r="E81" s="53">
        <v>4.82</v>
      </c>
      <c r="F81" s="53"/>
      <c r="G81" s="53" t="s">
        <v>451</v>
      </c>
      <c r="H81" s="54" t="s">
        <v>452</v>
      </c>
      <c r="I81" s="55">
        <v>-9606</v>
      </c>
      <c r="J81" s="53"/>
      <c r="K81" s="53"/>
      <c r="L81" s="53" t="str">
        <f>IF(-1642*4.82=0," ",TEXT(,ROUND((-1642*4.82*1.213),2)))</f>
        <v>-9600.22</v>
      </c>
      <c r="M81" s="53"/>
      <c r="N81" s="53"/>
    </row>
    <row r="82" spans="1:14" ht="42">
      <c r="A82" s="51">
        <v>51</v>
      </c>
      <c r="B82" s="52" t="s">
        <v>453</v>
      </c>
      <c r="C82" s="52" t="s">
        <v>454</v>
      </c>
      <c r="D82" s="51">
        <v>1642</v>
      </c>
      <c r="E82" s="53">
        <v>12.03</v>
      </c>
      <c r="F82" s="53"/>
      <c r="G82" s="53" t="s">
        <v>455</v>
      </c>
      <c r="H82" s="54" t="s">
        <v>456</v>
      </c>
      <c r="I82" s="55">
        <v>30049</v>
      </c>
      <c r="J82" s="53"/>
      <c r="K82" s="53"/>
      <c r="L82" s="53" t="str">
        <f>IF(1642*12.03=0," ",TEXT(,ROUND((1642*12.03*1.521),2)))</f>
        <v>30044.71</v>
      </c>
      <c r="M82" s="53"/>
      <c r="N82" s="53"/>
    </row>
    <row r="83" spans="1:14" ht="52.5">
      <c r="A83" s="51">
        <v>52</v>
      </c>
      <c r="B83" s="52" t="s">
        <v>457</v>
      </c>
      <c r="C83" s="52" t="s">
        <v>458</v>
      </c>
      <c r="D83" s="51" t="s">
        <v>459</v>
      </c>
      <c r="E83" s="53" t="s">
        <v>460</v>
      </c>
      <c r="F83" s="53" t="s">
        <v>461</v>
      </c>
      <c r="G83" s="53" t="s">
        <v>462</v>
      </c>
      <c r="H83" s="54" t="s">
        <v>463</v>
      </c>
      <c r="I83" s="55">
        <v>467220</v>
      </c>
      <c r="J83" s="53">
        <v>79456</v>
      </c>
      <c r="K83" s="53" t="s">
        <v>464</v>
      </c>
      <c r="L83" s="53" t="str">
        <f>IF(12.907*9149.44=0," ",TEXT(,ROUND((12.907*9149.44*3.12),2)))</f>
        <v>368446.48</v>
      </c>
      <c r="M83" s="53" t="s">
        <v>465</v>
      </c>
      <c r="N83" s="53" t="s">
        <v>466</v>
      </c>
    </row>
    <row r="84" spans="1:14" ht="52.5">
      <c r="A84" s="51">
        <v>53</v>
      </c>
      <c r="B84" s="52" t="s">
        <v>467</v>
      </c>
      <c r="C84" s="52" t="s">
        <v>468</v>
      </c>
      <c r="D84" s="51">
        <v>-1575</v>
      </c>
      <c r="E84" s="53">
        <v>70.5</v>
      </c>
      <c r="F84" s="53"/>
      <c r="G84" s="53" t="s">
        <v>469</v>
      </c>
      <c r="H84" s="54" t="s">
        <v>470</v>
      </c>
      <c r="I84" s="55">
        <v>-367306</v>
      </c>
      <c r="J84" s="53"/>
      <c r="K84" s="53"/>
      <c r="L84" s="53" t="str">
        <f>IF(-1575*70.5=0," ",TEXT(,ROUND((-1575*70.5*3.308),2)))</f>
        <v>-367312.05</v>
      </c>
      <c r="M84" s="53"/>
      <c r="N84" s="53"/>
    </row>
    <row r="85" spans="1:14" ht="63">
      <c r="A85" s="51">
        <v>54</v>
      </c>
      <c r="B85" s="52" t="s">
        <v>471</v>
      </c>
      <c r="C85" s="52" t="s">
        <v>472</v>
      </c>
      <c r="D85" s="51" t="s">
        <v>473</v>
      </c>
      <c r="E85" s="53">
        <v>10090.38</v>
      </c>
      <c r="F85" s="53"/>
      <c r="G85" s="53" t="s">
        <v>474</v>
      </c>
      <c r="H85" s="54" t="s">
        <v>475</v>
      </c>
      <c r="I85" s="55">
        <v>362306</v>
      </c>
      <c r="J85" s="53"/>
      <c r="K85" s="53"/>
      <c r="L85" s="53" t="str">
        <f>IF(11.784091*10090.38=0," ",TEXT(,ROUND((11.784091*10090.38*3.047),2)))</f>
        <v>362306.45</v>
      </c>
      <c r="M85" s="53"/>
      <c r="N85" s="53"/>
    </row>
    <row r="86" spans="1:14" ht="52.5">
      <c r="A86" s="51">
        <v>55</v>
      </c>
      <c r="B86" s="52" t="s">
        <v>476</v>
      </c>
      <c r="C86" s="52" t="s">
        <v>477</v>
      </c>
      <c r="D86" s="51">
        <v>118.6</v>
      </c>
      <c r="E86" s="53">
        <v>112.33</v>
      </c>
      <c r="F86" s="53"/>
      <c r="G86" s="53" t="s">
        <v>478</v>
      </c>
      <c r="H86" s="54" t="s">
        <v>479</v>
      </c>
      <c r="I86" s="55">
        <v>16719</v>
      </c>
      <c r="J86" s="53"/>
      <c r="K86" s="53"/>
      <c r="L86" s="53" t="str">
        <f>IF(118.6*112.33=0," ",TEXT(,ROUND((118.6*112.33*1.255),2)))</f>
        <v>16719.53</v>
      </c>
      <c r="M86" s="53"/>
      <c r="N86" s="53"/>
    </row>
    <row r="87" spans="1:14" ht="42">
      <c r="A87" s="51">
        <v>56</v>
      </c>
      <c r="B87" s="52" t="s">
        <v>480</v>
      </c>
      <c r="C87" s="52" t="s">
        <v>481</v>
      </c>
      <c r="D87" s="51">
        <v>369.8</v>
      </c>
      <c r="E87" s="53">
        <v>95.32</v>
      </c>
      <c r="F87" s="53"/>
      <c r="G87" s="53" t="s">
        <v>482</v>
      </c>
      <c r="H87" s="54" t="s">
        <v>483</v>
      </c>
      <c r="I87" s="55">
        <v>53052</v>
      </c>
      <c r="J87" s="53"/>
      <c r="K87" s="53"/>
      <c r="L87" s="53" t="str">
        <f>IF(369.8*95.32=0," ",TEXT(,ROUND((369.8*95.32*1.505),2)))</f>
        <v>53050.25</v>
      </c>
      <c r="M87" s="53"/>
      <c r="N87" s="53"/>
    </row>
    <row r="88" spans="1:14" ht="42">
      <c r="A88" s="51">
        <v>57</v>
      </c>
      <c r="B88" s="52" t="s">
        <v>484</v>
      </c>
      <c r="C88" s="52" t="s">
        <v>485</v>
      </c>
      <c r="D88" s="51">
        <v>193.3</v>
      </c>
      <c r="E88" s="53">
        <v>153.09</v>
      </c>
      <c r="F88" s="53"/>
      <c r="G88" s="53" t="s">
        <v>486</v>
      </c>
      <c r="H88" s="54" t="s">
        <v>487</v>
      </c>
      <c r="I88" s="55">
        <v>38884</v>
      </c>
      <c r="J88" s="53"/>
      <c r="K88" s="53"/>
      <c r="L88" s="53" t="str">
        <f>IF(193.3*153.09=0," ",TEXT(,ROUND((193.3*153.09*1.314),2)))</f>
        <v>38884.28</v>
      </c>
      <c r="M88" s="53"/>
      <c r="N88" s="53"/>
    </row>
    <row r="89" spans="1:14" ht="17.25" customHeight="1">
      <c r="A89" s="70" t="s">
        <v>488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</row>
    <row r="90" spans="1:14" ht="52.5">
      <c r="A90" s="51">
        <v>58</v>
      </c>
      <c r="B90" s="52" t="s">
        <v>489</v>
      </c>
      <c r="C90" s="52" t="s">
        <v>490</v>
      </c>
      <c r="D90" s="51" t="s">
        <v>491</v>
      </c>
      <c r="E90" s="53" t="s">
        <v>392</v>
      </c>
      <c r="F90" s="53" t="s">
        <v>393</v>
      </c>
      <c r="G90" s="53" t="s">
        <v>394</v>
      </c>
      <c r="H90" s="54" t="s">
        <v>395</v>
      </c>
      <c r="I90" s="55">
        <v>31336</v>
      </c>
      <c r="J90" s="53">
        <v>2427</v>
      </c>
      <c r="K90" s="53" t="s">
        <v>492</v>
      </c>
      <c r="L90" s="53" t="str">
        <f>IF(2.22*3032.91=0," ",TEXT(,ROUND((2.22*3032.91*4.08),2)))</f>
        <v>27470.89</v>
      </c>
      <c r="M90" s="53" t="s">
        <v>397</v>
      </c>
      <c r="N90" s="53" t="s">
        <v>493</v>
      </c>
    </row>
    <row r="91" spans="1:14" ht="73.5">
      <c r="A91" s="51">
        <v>59</v>
      </c>
      <c r="B91" s="52" t="s">
        <v>297</v>
      </c>
      <c r="C91" s="52" t="s">
        <v>494</v>
      </c>
      <c r="D91" s="51" t="s">
        <v>495</v>
      </c>
      <c r="E91" s="53" t="s">
        <v>299</v>
      </c>
      <c r="F91" s="53" t="s">
        <v>300</v>
      </c>
      <c r="G91" s="53" t="s">
        <v>301</v>
      </c>
      <c r="H91" s="54" t="s">
        <v>302</v>
      </c>
      <c r="I91" s="55">
        <v>3805</v>
      </c>
      <c r="J91" s="53">
        <v>1140</v>
      </c>
      <c r="K91" s="53" t="s">
        <v>496</v>
      </c>
      <c r="L91" s="53" t="str">
        <f>IF(1.02*562.56=0," ",TEXT(,ROUND((1.02*562.56*4.42),2)))</f>
        <v>2536.25</v>
      </c>
      <c r="M91" s="53" t="s">
        <v>414</v>
      </c>
      <c r="N91" s="53" t="s">
        <v>497</v>
      </c>
    </row>
    <row r="92" spans="1:14" ht="73.5">
      <c r="A92" s="51">
        <v>60</v>
      </c>
      <c r="B92" s="52" t="s">
        <v>498</v>
      </c>
      <c r="C92" s="52" t="s">
        <v>499</v>
      </c>
      <c r="D92" s="51" t="s">
        <v>500</v>
      </c>
      <c r="E92" s="53" t="s">
        <v>392</v>
      </c>
      <c r="F92" s="53" t="s">
        <v>393</v>
      </c>
      <c r="G92" s="53" t="s">
        <v>394</v>
      </c>
      <c r="H92" s="54" t="s">
        <v>395</v>
      </c>
      <c r="I92" s="55">
        <v>11933</v>
      </c>
      <c r="J92" s="53">
        <v>819</v>
      </c>
      <c r="K92" s="53" t="s">
        <v>501</v>
      </c>
      <c r="L92" s="53" t="str">
        <f>IF(0.862*3032.91=0," ",TEXT(,ROUND((0.862*3032.91*4.08),2)))</f>
        <v>10666.62</v>
      </c>
      <c r="M92" s="53" t="s">
        <v>397</v>
      </c>
      <c r="N92" s="53" t="s">
        <v>502</v>
      </c>
    </row>
    <row r="93" spans="1:14" ht="84">
      <c r="A93" s="51">
        <v>61</v>
      </c>
      <c r="B93" s="52" t="s">
        <v>399</v>
      </c>
      <c r="C93" s="52" t="s">
        <v>400</v>
      </c>
      <c r="D93" s="51">
        <v>-0.2586</v>
      </c>
      <c r="E93" s="53">
        <v>10045</v>
      </c>
      <c r="F93" s="53"/>
      <c r="G93" s="53" t="s">
        <v>401</v>
      </c>
      <c r="H93" s="54" t="s">
        <v>402</v>
      </c>
      <c r="I93" s="55">
        <v>-10614</v>
      </c>
      <c r="J93" s="53"/>
      <c r="K93" s="53"/>
      <c r="L93" s="53" t="str">
        <f>IF(-0.2586*10045=0," ",TEXT(,ROUND((-0.2586*10045*4.086),2)))</f>
        <v>-10613.94</v>
      </c>
      <c r="M93" s="53"/>
      <c r="N93" s="53"/>
    </row>
    <row r="94" spans="1:14" ht="52.5">
      <c r="A94" s="51">
        <v>62</v>
      </c>
      <c r="B94" s="52" t="s">
        <v>503</v>
      </c>
      <c r="C94" s="52" t="s">
        <v>504</v>
      </c>
      <c r="D94" s="51">
        <v>86.2</v>
      </c>
      <c r="E94" s="53">
        <v>12.03</v>
      </c>
      <c r="F94" s="53"/>
      <c r="G94" s="53" t="s">
        <v>455</v>
      </c>
      <c r="H94" s="54" t="s">
        <v>505</v>
      </c>
      <c r="I94" s="55">
        <v>7165</v>
      </c>
      <c r="J94" s="53"/>
      <c r="K94" s="53"/>
      <c r="L94" s="53" t="str">
        <f>IF(86.2*12.03=0," ",TEXT(,ROUND((86.2*12.03*6.909),2)))</f>
        <v>7164.54</v>
      </c>
      <c r="M94" s="53"/>
      <c r="N94" s="53"/>
    </row>
    <row r="95" spans="1:14" ht="52.5">
      <c r="A95" s="51">
        <v>63</v>
      </c>
      <c r="B95" s="52" t="s">
        <v>506</v>
      </c>
      <c r="C95" s="52" t="s">
        <v>507</v>
      </c>
      <c r="D95" s="51" t="s">
        <v>508</v>
      </c>
      <c r="E95" s="53">
        <v>3000</v>
      </c>
      <c r="F95" s="53"/>
      <c r="G95" s="53" t="s">
        <v>509</v>
      </c>
      <c r="H95" s="54" t="s">
        <v>510</v>
      </c>
      <c r="I95" s="55">
        <v>47805</v>
      </c>
      <c r="J95" s="53"/>
      <c r="K95" s="53"/>
      <c r="L95" s="53" t="str">
        <f>IF(5.24*3000=0," ",TEXT(,ROUND((5.24*3000*3.041),2)))</f>
        <v>47804.52</v>
      </c>
      <c r="M95" s="53"/>
      <c r="N95" s="53"/>
    </row>
    <row r="96" spans="1:14" ht="17.25" customHeight="1">
      <c r="A96" s="69" t="s">
        <v>511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1:14" ht="17.25" customHeight="1">
      <c r="A97" s="70" t="s">
        <v>512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</row>
    <row r="98" spans="1:14" ht="63">
      <c r="A98" s="51">
        <v>64</v>
      </c>
      <c r="B98" s="52" t="s">
        <v>513</v>
      </c>
      <c r="C98" s="52" t="s">
        <v>514</v>
      </c>
      <c r="D98" s="51" t="s">
        <v>515</v>
      </c>
      <c r="E98" s="53" t="s">
        <v>516</v>
      </c>
      <c r="F98" s="53" t="s">
        <v>517</v>
      </c>
      <c r="G98" s="53" t="s">
        <v>518</v>
      </c>
      <c r="H98" s="54" t="s">
        <v>519</v>
      </c>
      <c r="I98" s="55">
        <v>19815</v>
      </c>
      <c r="J98" s="53">
        <v>11002</v>
      </c>
      <c r="K98" s="53" t="s">
        <v>520</v>
      </c>
      <c r="L98" s="53" t="str">
        <f>IF(1.23712*232.35=0," ",TEXT(,ROUND((1.23712*232.35*6.2),2)))</f>
        <v>1782.16</v>
      </c>
      <c r="M98" s="53" t="s">
        <v>521</v>
      </c>
      <c r="N98" s="53" t="s">
        <v>522</v>
      </c>
    </row>
    <row r="99" spans="1:14" ht="52.5">
      <c r="A99" s="51">
        <v>65</v>
      </c>
      <c r="B99" s="52" t="s">
        <v>523</v>
      </c>
      <c r="C99" s="52" t="s">
        <v>524</v>
      </c>
      <c r="D99" s="51">
        <v>14.5</v>
      </c>
      <c r="E99" s="53">
        <v>75.02</v>
      </c>
      <c r="F99" s="53"/>
      <c r="G99" s="53" t="s">
        <v>525</v>
      </c>
      <c r="H99" s="54" t="s">
        <v>526</v>
      </c>
      <c r="I99" s="55">
        <v>3658</v>
      </c>
      <c r="J99" s="53"/>
      <c r="K99" s="53"/>
      <c r="L99" s="53" t="str">
        <f>IF(14.5*75.02=0," ",TEXT(,ROUND((14.5*75.02*3.363),2)))</f>
        <v>3658.24</v>
      </c>
      <c r="M99" s="53"/>
      <c r="N99" s="53"/>
    </row>
    <row r="100" spans="1:14" ht="52.5">
      <c r="A100" s="51">
        <v>66</v>
      </c>
      <c r="B100" s="52" t="s">
        <v>527</v>
      </c>
      <c r="C100" s="52" t="s">
        <v>528</v>
      </c>
      <c r="D100" s="51">
        <v>1.081</v>
      </c>
      <c r="E100" s="53">
        <v>5531.93</v>
      </c>
      <c r="F100" s="53"/>
      <c r="G100" s="53" t="s">
        <v>529</v>
      </c>
      <c r="H100" s="54" t="s">
        <v>530</v>
      </c>
      <c r="I100" s="55">
        <v>30068</v>
      </c>
      <c r="J100" s="53"/>
      <c r="K100" s="53"/>
      <c r="L100" s="53" t="str">
        <f>IF(1.081*5531.93=0," ",TEXT(,ROUND((1.081*5531.93*5.028),2)))</f>
        <v>30067.52</v>
      </c>
      <c r="M100" s="53"/>
      <c r="N100" s="53"/>
    </row>
    <row r="101" spans="1:14" ht="52.5">
      <c r="A101" s="51">
        <v>67</v>
      </c>
      <c r="B101" s="52" t="s">
        <v>268</v>
      </c>
      <c r="C101" s="52" t="s">
        <v>269</v>
      </c>
      <c r="D101" s="51" t="s">
        <v>531</v>
      </c>
      <c r="E101" s="53">
        <v>5763</v>
      </c>
      <c r="F101" s="53"/>
      <c r="G101" s="53" t="s">
        <v>271</v>
      </c>
      <c r="H101" s="54" t="s">
        <v>272</v>
      </c>
      <c r="I101" s="55">
        <v>444</v>
      </c>
      <c r="J101" s="53"/>
      <c r="K101" s="53"/>
      <c r="L101" s="53" t="str">
        <f>IF(0.01764*5763=0," ",TEXT(,ROUND((0.01764*5763*4.367),2)))</f>
        <v>443.95</v>
      </c>
      <c r="M101" s="53"/>
      <c r="N101" s="53"/>
    </row>
    <row r="102" spans="1:14" ht="52.5">
      <c r="A102" s="51">
        <v>68</v>
      </c>
      <c r="B102" s="52" t="s">
        <v>532</v>
      </c>
      <c r="C102" s="52" t="s">
        <v>533</v>
      </c>
      <c r="D102" s="51">
        <v>12</v>
      </c>
      <c r="E102" s="53">
        <v>2.9</v>
      </c>
      <c r="F102" s="53"/>
      <c r="G102" s="53" t="s">
        <v>534</v>
      </c>
      <c r="H102" s="54" t="s">
        <v>535</v>
      </c>
      <c r="I102" s="55">
        <v>187</v>
      </c>
      <c r="J102" s="53"/>
      <c r="K102" s="53"/>
      <c r="L102" s="53" t="str">
        <f>IF(12*2.9=0," ",TEXT(,ROUND((12*2.9*5.368),2)))</f>
        <v>186.81</v>
      </c>
      <c r="M102" s="53"/>
      <c r="N102" s="53"/>
    </row>
    <row r="103" spans="1:14" ht="52.5">
      <c r="A103" s="51">
        <v>69</v>
      </c>
      <c r="B103" s="52" t="s">
        <v>536</v>
      </c>
      <c r="C103" s="52" t="s">
        <v>537</v>
      </c>
      <c r="D103" s="51" t="s">
        <v>538</v>
      </c>
      <c r="E103" s="53" t="s">
        <v>539</v>
      </c>
      <c r="F103" s="53">
        <v>5.23</v>
      </c>
      <c r="G103" s="53" t="s">
        <v>540</v>
      </c>
      <c r="H103" s="54" t="s">
        <v>541</v>
      </c>
      <c r="I103" s="55">
        <v>15560</v>
      </c>
      <c r="J103" s="53">
        <v>1860</v>
      </c>
      <c r="K103" s="53">
        <v>168</v>
      </c>
      <c r="L103" s="53" t="str">
        <f>IF(3.1914*883.33=0," ",TEXT(,ROUND((3.1914*883.33*4.8),2)))</f>
        <v>13531.48</v>
      </c>
      <c r="M103" s="53">
        <v>4.52</v>
      </c>
      <c r="N103" s="53">
        <v>14.43</v>
      </c>
    </row>
    <row r="104" spans="1:14" ht="52.5">
      <c r="A104" s="51">
        <v>70</v>
      </c>
      <c r="B104" s="52" t="s">
        <v>542</v>
      </c>
      <c r="C104" s="52" t="s">
        <v>543</v>
      </c>
      <c r="D104" s="51">
        <v>-367</v>
      </c>
      <c r="E104" s="53">
        <v>7.46</v>
      </c>
      <c r="F104" s="53"/>
      <c r="G104" s="53" t="s">
        <v>544</v>
      </c>
      <c r="H104" s="54" t="s">
        <v>545</v>
      </c>
      <c r="I104" s="55">
        <v>-13135</v>
      </c>
      <c r="J104" s="53"/>
      <c r="K104" s="53"/>
      <c r="L104" s="53" t="str">
        <f>IF(-367*7.46=0," ",TEXT(,ROUND((-367*7.46*4.797),2)))</f>
        <v>-13133.32</v>
      </c>
      <c r="M104" s="53"/>
      <c r="N104" s="53"/>
    </row>
    <row r="105" spans="1:14" ht="42">
      <c r="A105" s="51">
        <v>71</v>
      </c>
      <c r="B105" s="52" t="s">
        <v>546</v>
      </c>
      <c r="C105" s="52" t="s">
        <v>547</v>
      </c>
      <c r="D105" s="51">
        <v>367</v>
      </c>
      <c r="E105" s="53">
        <v>9.68</v>
      </c>
      <c r="F105" s="53"/>
      <c r="G105" s="53" t="s">
        <v>548</v>
      </c>
      <c r="H105" s="54" t="s">
        <v>549</v>
      </c>
      <c r="I105" s="55">
        <v>4995</v>
      </c>
      <c r="J105" s="53"/>
      <c r="K105" s="53"/>
      <c r="L105" s="53" t="str">
        <f>IF(367*9.68=0," ",TEXT(,ROUND((367*9.68*1.406),2)))</f>
        <v>4994.9</v>
      </c>
      <c r="M105" s="53"/>
      <c r="N105" s="53"/>
    </row>
    <row r="106" spans="1:14" ht="84">
      <c r="A106" s="51">
        <v>72</v>
      </c>
      <c r="B106" s="52" t="s">
        <v>550</v>
      </c>
      <c r="C106" s="52" t="s">
        <v>551</v>
      </c>
      <c r="D106" s="51" t="s">
        <v>552</v>
      </c>
      <c r="E106" s="53" t="s">
        <v>553</v>
      </c>
      <c r="F106" s="53" t="s">
        <v>554</v>
      </c>
      <c r="G106" s="53" t="s">
        <v>555</v>
      </c>
      <c r="H106" s="54" t="s">
        <v>556</v>
      </c>
      <c r="I106" s="55">
        <v>9232</v>
      </c>
      <c r="J106" s="53">
        <v>8236</v>
      </c>
      <c r="K106" s="53" t="s">
        <v>557</v>
      </c>
      <c r="L106" s="53" t="str">
        <f>IF(3.366*105.45=0," ",TEXT(,ROUND((3.366*105.45*1.85),2)))</f>
        <v>656.65</v>
      </c>
      <c r="M106" s="53" t="s">
        <v>558</v>
      </c>
      <c r="N106" s="53" t="s">
        <v>559</v>
      </c>
    </row>
    <row r="107" spans="1:14" ht="63">
      <c r="A107" s="51">
        <v>73</v>
      </c>
      <c r="B107" s="52" t="s">
        <v>560</v>
      </c>
      <c r="C107" s="52" t="s">
        <v>561</v>
      </c>
      <c r="D107" s="51">
        <v>33.66</v>
      </c>
      <c r="E107" s="53">
        <v>1362.04</v>
      </c>
      <c r="F107" s="53"/>
      <c r="G107" s="53" t="s">
        <v>562</v>
      </c>
      <c r="H107" s="54" t="s">
        <v>563</v>
      </c>
      <c r="I107" s="55">
        <v>128599</v>
      </c>
      <c r="J107" s="53"/>
      <c r="K107" s="53"/>
      <c r="L107" s="53" t="str">
        <f>IF(33.66*1362.04=0," ",TEXT(,ROUND((33.66*1362.04*2.805),2)))</f>
        <v>128598.78</v>
      </c>
      <c r="M107" s="53"/>
      <c r="N107" s="53"/>
    </row>
    <row r="108" spans="1:14" ht="52.5">
      <c r="A108" s="51">
        <v>74</v>
      </c>
      <c r="B108" s="52" t="s">
        <v>564</v>
      </c>
      <c r="C108" s="52" t="s">
        <v>565</v>
      </c>
      <c r="D108" s="51" t="s">
        <v>566</v>
      </c>
      <c r="E108" s="53">
        <v>6.22</v>
      </c>
      <c r="F108" s="53"/>
      <c r="G108" s="53" t="s">
        <v>567</v>
      </c>
      <c r="H108" s="54" t="s">
        <v>568</v>
      </c>
      <c r="I108" s="55">
        <v>11014</v>
      </c>
      <c r="J108" s="53"/>
      <c r="K108" s="53"/>
      <c r="L108" s="53" t="str">
        <f>IF(168.2*6.22=0," ",TEXT(,ROUND((168.2*6.22*10.527),2)))</f>
        <v>11013.39</v>
      </c>
      <c r="M108" s="53"/>
      <c r="N108" s="53"/>
    </row>
    <row r="109" spans="1:14" ht="63">
      <c r="A109" s="51">
        <v>75</v>
      </c>
      <c r="B109" s="52" t="s">
        <v>569</v>
      </c>
      <c r="C109" s="52" t="s">
        <v>570</v>
      </c>
      <c r="D109" s="51" t="s">
        <v>571</v>
      </c>
      <c r="E109" s="53" t="s">
        <v>572</v>
      </c>
      <c r="F109" s="53">
        <v>18.31</v>
      </c>
      <c r="G109" s="53" t="s">
        <v>573</v>
      </c>
      <c r="H109" s="54" t="s">
        <v>574</v>
      </c>
      <c r="I109" s="55">
        <v>125513</v>
      </c>
      <c r="J109" s="53">
        <v>24496</v>
      </c>
      <c r="K109" s="53">
        <v>1109</v>
      </c>
      <c r="L109" s="53" t="str">
        <f>IF(4.8132*6695.89=0," ",TEXT(,ROUND((4.8132*6695.89*3.1),2)))</f>
        <v>99908.84</v>
      </c>
      <c r="M109" s="53">
        <v>33.4</v>
      </c>
      <c r="N109" s="53">
        <v>160.76</v>
      </c>
    </row>
    <row r="110" spans="1:14" ht="52.5">
      <c r="A110" s="51">
        <v>76</v>
      </c>
      <c r="B110" s="52" t="s">
        <v>575</v>
      </c>
      <c r="C110" s="52" t="s">
        <v>576</v>
      </c>
      <c r="D110" s="51">
        <v>3.3</v>
      </c>
      <c r="E110" s="53" t="s">
        <v>577</v>
      </c>
      <c r="F110" s="53">
        <v>33.51</v>
      </c>
      <c r="G110" s="53" t="s">
        <v>578</v>
      </c>
      <c r="H110" s="54" t="s">
        <v>579</v>
      </c>
      <c r="I110" s="55">
        <v>37131</v>
      </c>
      <c r="J110" s="53">
        <v>11506</v>
      </c>
      <c r="K110" s="53">
        <v>1354</v>
      </c>
      <c r="L110" s="53" t="str">
        <f>IF(3.3*2189=0," ",TEXT(,ROUND((3.3*2189*3.36),2)))</f>
        <v>24271.63</v>
      </c>
      <c r="M110" s="53">
        <v>22.5</v>
      </c>
      <c r="N110" s="53">
        <v>74.25</v>
      </c>
    </row>
    <row r="111" spans="1:14" ht="52.5">
      <c r="A111" s="51">
        <v>77</v>
      </c>
      <c r="B111" s="52" t="s">
        <v>165</v>
      </c>
      <c r="C111" s="52" t="s">
        <v>580</v>
      </c>
      <c r="D111" s="51">
        <v>36</v>
      </c>
      <c r="E111" s="53" t="s">
        <v>167</v>
      </c>
      <c r="F111" s="53">
        <v>4.38</v>
      </c>
      <c r="G111" s="53" t="s">
        <v>168</v>
      </c>
      <c r="H111" s="54" t="s">
        <v>169</v>
      </c>
      <c r="I111" s="55">
        <v>14056</v>
      </c>
      <c r="J111" s="53">
        <v>11641</v>
      </c>
      <c r="K111" s="53">
        <v>1077</v>
      </c>
      <c r="L111" s="53" t="str">
        <f>IF(36*6.33=0," ",TEXT(,ROUND((36*6.33*5.87),2)))</f>
        <v>1337.66</v>
      </c>
      <c r="M111" s="53">
        <v>2.27</v>
      </c>
      <c r="N111" s="53">
        <v>81.72</v>
      </c>
    </row>
    <row r="112" spans="1:14" ht="52.5">
      <c r="A112" s="51">
        <v>78</v>
      </c>
      <c r="B112" s="52" t="s">
        <v>581</v>
      </c>
      <c r="C112" s="52" t="s">
        <v>582</v>
      </c>
      <c r="D112" s="51">
        <v>36</v>
      </c>
      <c r="E112" s="53">
        <v>321.3</v>
      </c>
      <c r="F112" s="53"/>
      <c r="G112" s="53" t="s">
        <v>583</v>
      </c>
      <c r="H112" s="54" t="s">
        <v>584</v>
      </c>
      <c r="I112" s="55">
        <v>58644</v>
      </c>
      <c r="J112" s="53"/>
      <c r="K112" s="53"/>
      <c r="L112" s="53" t="str">
        <f>IF(36*321.3=0," ",TEXT(,ROUND((36*321.3*5.07),2)))</f>
        <v>58643.68</v>
      </c>
      <c r="M112" s="53"/>
      <c r="N112" s="53"/>
    </row>
    <row r="113" spans="1:14" ht="84">
      <c r="A113" s="51">
        <v>79</v>
      </c>
      <c r="B113" s="52" t="s">
        <v>237</v>
      </c>
      <c r="C113" s="52" t="s">
        <v>238</v>
      </c>
      <c r="D113" s="51" t="s">
        <v>585</v>
      </c>
      <c r="E113" s="53" t="s">
        <v>240</v>
      </c>
      <c r="F113" s="53" t="s">
        <v>241</v>
      </c>
      <c r="G113" s="53" t="s">
        <v>242</v>
      </c>
      <c r="H113" s="54" t="s">
        <v>243</v>
      </c>
      <c r="I113" s="55">
        <v>10461</v>
      </c>
      <c r="J113" s="53">
        <v>2829</v>
      </c>
      <c r="K113" s="53" t="s">
        <v>586</v>
      </c>
      <c r="L113" s="53" t="str">
        <f>IF(0.36*759.58=0," ",TEXT(,ROUND((0.36*759.58*5.16),2)))</f>
        <v>1411</v>
      </c>
      <c r="M113" s="53" t="s">
        <v>245</v>
      </c>
      <c r="N113" s="53" t="s">
        <v>587</v>
      </c>
    </row>
    <row r="114" spans="1:14" ht="42">
      <c r="A114" s="51">
        <v>80</v>
      </c>
      <c r="B114" s="52" t="s">
        <v>247</v>
      </c>
      <c r="C114" s="52" t="s">
        <v>251</v>
      </c>
      <c r="D114" s="51">
        <v>36</v>
      </c>
      <c r="E114" s="53">
        <v>256.54</v>
      </c>
      <c r="F114" s="53"/>
      <c r="G114" s="53" t="s">
        <v>252</v>
      </c>
      <c r="H114" s="54" t="s">
        <v>250</v>
      </c>
      <c r="I114" s="55">
        <v>47655</v>
      </c>
      <c r="J114" s="53"/>
      <c r="K114" s="53"/>
      <c r="L114" s="53" t="str">
        <f>IF(36*256.54=0," ",TEXT(,ROUND((36*256.54*5.16),2)))</f>
        <v>47654.87</v>
      </c>
      <c r="M114" s="53"/>
      <c r="N114" s="53"/>
    </row>
    <row r="115" spans="1:14" ht="17.25" customHeight="1">
      <c r="A115" s="69" t="s">
        <v>588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1:14" ht="63">
      <c r="A116" s="51">
        <v>81</v>
      </c>
      <c r="B116" s="52" t="s">
        <v>589</v>
      </c>
      <c r="C116" s="52" t="s">
        <v>590</v>
      </c>
      <c r="D116" s="51" t="s">
        <v>591</v>
      </c>
      <c r="E116" s="53" t="s">
        <v>592</v>
      </c>
      <c r="F116" s="53" t="s">
        <v>593</v>
      </c>
      <c r="G116" s="53" t="s">
        <v>594</v>
      </c>
      <c r="H116" s="54" t="s">
        <v>595</v>
      </c>
      <c r="I116" s="55">
        <v>12029</v>
      </c>
      <c r="J116" s="53">
        <v>4329</v>
      </c>
      <c r="K116" s="53" t="s">
        <v>596</v>
      </c>
      <c r="L116" s="53" t="str">
        <f>IF(0.513*4401.58=0," ",TEXT(,ROUND((0.513*4401.58*3.31),2)))</f>
        <v>7474.01</v>
      </c>
      <c r="M116" s="53" t="s">
        <v>597</v>
      </c>
      <c r="N116" s="53" t="s">
        <v>598</v>
      </c>
    </row>
    <row r="117" spans="1:14" ht="63">
      <c r="A117" s="51">
        <v>82</v>
      </c>
      <c r="B117" s="52" t="s">
        <v>599</v>
      </c>
      <c r="C117" s="52" t="s">
        <v>600</v>
      </c>
      <c r="D117" s="51" t="s">
        <v>601</v>
      </c>
      <c r="E117" s="53" t="s">
        <v>602</v>
      </c>
      <c r="F117" s="53">
        <v>50.59</v>
      </c>
      <c r="G117" s="53" t="s">
        <v>603</v>
      </c>
      <c r="H117" s="54" t="s">
        <v>604</v>
      </c>
      <c r="I117" s="55">
        <v>3432</v>
      </c>
      <c r="J117" s="53">
        <v>905</v>
      </c>
      <c r="K117" s="53">
        <v>113</v>
      </c>
      <c r="L117" s="53" t="str">
        <f>IF(0.1772*1404.64=0," ",TEXT(,ROUND((0.1772*1404.64*9.7),2)))</f>
        <v>2414.35</v>
      </c>
      <c r="M117" s="53">
        <v>31.98</v>
      </c>
      <c r="N117" s="53">
        <v>5.67</v>
      </c>
    </row>
    <row r="118" spans="1:14" ht="52.5">
      <c r="A118" s="51">
        <v>83</v>
      </c>
      <c r="B118" s="52" t="s">
        <v>605</v>
      </c>
      <c r="C118" s="52" t="s">
        <v>606</v>
      </c>
      <c r="D118" s="51">
        <v>-0.0204</v>
      </c>
      <c r="E118" s="53">
        <v>7800</v>
      </c>
      <c r="F118" s="53"/>
      <c r="G118" s="53" t="s">
        <v>607</v>
      </c>
      <c r="H118" s="54" t="s">
        <v>608</v>
      </c>
      <c r="I118" s="55">
        <v>-1905</v>
      </c>
      <c r="J118" s="53"/>
      <c r="K118" s="53"/>
      <c r="L118" s="53" t="str">
        <f>IF(-0.0204*7800=0," ",TEXT(,ROUND((-0.0204*7800*11.969),2)))</f>
        <v>-1904.51</v>
      </c>
      <c r="M118" s="53"/>
      <c r="N118" s="53"/>
    </row>
    <row r="119" spans="1:14" ht="42">
      <c r="A119" s="51">
        <v>84</v>
      </c>
      <c r="B119" s="52" t="s">
        <v>546</v>
      </c>
      <c r="C119" s="52" t="s">
        <v>547</v>
      </c>
      <c r="D119" s="51">
        <v>17.72</v>
      </c>
      <c r="E119" s="53">
        <v>9.68</v>
      </c>
      <c r="F119" s="53"/>
      <c r="G119" s="53" t="s">
        <v>548</v>
      </c>
      <c r="H119" s="54" t="s">
        <v>549</v>
      </c>
      <c r="I119" s="55">
        <v>241</v>
      </c>
      <c r="J119" s="53"/>
      <c r="K119" s="53"/>
      <c r="L119" s="53" t="str">
        <f>IF(17.72*9.68=0," ",TEXT(,ROUND((17.72*9.68*1.406),2)))</f>
        <v>241.17</v>
      </c>
      <c r="M119" s="53"/>
      <c r="N119" s="53"/>
    </row>
    <row r="120" spans="1:14" ht="84">
      <c r="A120" s="51">
        <v>85</v>
      </c>
      <c r="B120" s="52" t="s">
        <v>609</v>
      </c>
      <c r="C120" s="52" t="s">
        <v>610</v>
      </c>
      <c r="D120" s="51">
        <v>3.383</v>
      </c>
      <c r="E120" s="53" t="s">
        <v>611</v>
      </c>
      <c r="F120" s="53">
        <v>57.15</v>
      </c>
      <c r="G120" s="53" t="s">
        <v>612</v>
      </c>
      <c r="H120" s="54" t="s">
        <v>613</v>
      </c>
      <c r="I120" s="55">
        <v>27734</v>
      </c>
      <c r="J120" s="53">
        <v>11509</v>
      </c>
      <c r="K120" s="53">
        <v>2416</v>
      </c>
      <c r="L120" s="53" t="str">
        <f>IF(3.383*1320.96=0," ",TEXT(,ROUND((3.383*1320.96*3.09),2)))</f>
        <v>13808.62</v>
      </c>
      <c r="M120" s="53">
        <v>18.85</v>
      </c>
      <c r="N120" s="53">
        <v>63.77</v>
      </c>
    </row>
    <row r="121" spans="1:14" ht="52.5">
      <c r="A121" s="51">
        <v>86</v>
      </c>
      <c r="B121" s="52" t="s">
        <v>614</v>
      </c>
      <c r="C121" s="52" t="s">
        <v>615</v>
      </c>
      <c r="D121" s="51">
        <v>-5.21</v>
      </c>
      <c r="E121" s="53">
        <v>542.4</v>
      </c>
      <c r="F121" s="53"/>
      <c r="G121" s="53" t="s">
        <v>616</v>
      </c>
      <c r="H121" s="54" t="s">
        <v>617</v>
      </c>
      <c r="I121" s="55">
        <v>-8803</v>
      </c>
      <c r="J121" s="53"/>
      <c r="K121" s="53"/>
      <c r="L121" s="53" t="str">
        <f>IF(-5.21*542.4=0," ",TEXT(,ROUND((-5.21*542.4*3.115),2)))</f>
        <v>-8802.69</v>
      </c>
      <c r="M121" s="53"/>
      <c r="N121" s="53"/>
    </row>
    <row r="122" spans="1:14" ht="42">
      <c r="A122" s="51">
        <v>87</v>
      </c>
      <c r="B122" s="52" t="s">
        <v>618</v>
      </c>
      <c r="C122" s="52" t="s">
        <v>619</v>
      </c>
      <c r="D122" s="51">
        <v>67.66</v>
      </c>
      <c r="E122" s="53">
        <v>33.3</v>
      </c>
      <c r="F122" s="53"/>
      <c r="G122" s="53" t="s">
        <v>620</v>
      </c>
      <c r="H122" s="54" t="s">
        <v>621</v>
      </c>
      <c r="I122" s="55">
        <v>4346</v>
      </c>
      <c r="J122" s="53"/>
      <c r="K122" s="53"/>
      <c r="L122" s="53" t="str">
        <f>IF(67.66*33.3=0," ",TEXT(,ROUND((67.66*33.3*1.929),2)))</f>
        <v>4346.19</v>
      </c>
      <c r="M122" s="53"/>
      <c r="N122" s="53"/>
    </row>
    <row r="123" spans="1:14" ht="63">
      <c r="A123" s="51">
        <v>88</v>
      </c>
      <c r="B123" s="52" t="s">
        <v>622</v>
      </c>
      <c r="C123" s="52" t="s">
        <v>623</v>
      </c>
      <c r="D123" s="51" t="s">
        <v>624</v>
      </c>
      <c r="E123" s="53" t="s">
        <v>625</v>
      </c>
      <c r="F123" s="53">
        <v>76.46</v>
      </c>
      <c r="G123" s="53" t="s">
        <v>626</v>
      </c>
      <c r="H123" s="54" t="s">
        <v>627</v>
      </c>
      <c r="I123" s="55">
        <v>12230</v>
      </c>
      <c r="J123" s="53">
        <v>6096</v>
      </c>
      <c r="K123" s="53">
        <v>288</v>
      </c>
      <c r="L123" s="53" t="str">
        <f>IF(0.3234*7596.54=0," ",TEXT(,ROUND((0.3234*7596.54*2.38),2)))</f>
        <v>5847</v>
      </c>
      <c r="M123" s="53">
        <v>107.18</v>
      </c>
      <c r="N123" s="53">
        <v>34.66</v>
      </c>
    </row>
    <row r="124" spans="1:14" ht="52.5">
      <c r="A124" s="51">
        <v>89</v>
      </c>
      <c r="B124" s="52" t="s">
        <v>628</v>
      </c>
      <c r="C124" s="52" t="s">
        <v>629</v>
      </c>
      <c r="D124" s="51" t="s">
        <v>630</v>
      </c>
      <c r="E124" s="53" t="s">
        <v>631</v>
      </c>
      <c r="F124" s="53">
        <v>969.06</v>
      </c>
      <c r="G124" s="53" t="s">
        <v>632</v>
      </c>
      <c r="H124" s="54" t="s">
        <v>633</v>
      </c>
      <c r="I124" s="55">
        <v>15366</v>
      </c>
      <c r="J124" s="53">
        <v>4717</v>
      </c>
      <c r="K124" s="53">
        <v>1580</v>
      </c>
      <c r="L124" s="53" t="str">
        <f>IF(0.176*12722.28=0," ",TEXT(,ROUND((0.176*12722.28*4.05),2)))</f>
        <v>9068.44</v>
      </c>
      <c r="M124" s="53">
        <v>148.52</v>
      </c>
      <c r="N124" s="53">
        <v>26.14</v>
      </c>
    </row>
    <row r="125" spans="1:14" ht="17.25" customHeight="1">
      <c r="A125" s="69" t="s">
        <v>634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52.5">
      <c r="A126" s="51">
        <v>90</v>
      </c>
      <c r="B126" s="52" t="s">
        <v>635</v>
      </c>
      <c r="C126" s="52" t="s">
        <v>636</v>
      </c>
      <c r="D126" s="51" t="s">
        <v>637</v>
      </c>
      <c r="E126" s="53" t="s">
        <v>638</v>
      </c>
      <c r="F126" s="53" t="s">
        <v>639</v>
      </c>
      <c r="G126" s="53" t="s">
        <v>640</v>
      </c>
      <c r="H126" s="54" t="s">
        <v>641</v>
      </c>
      <c r="I126" s="55">
        <v>2019</v>
      </c>
      <c r="J126" s="53">
        <v>433</v>
      </c>
      <c r="K126" s="53" t="s">
        <v>642</v>
      </c>
      <c r="L126" s="53" t="str">
        <f>IF(0.455836*121.34=0," ",TEXT(,ROUND((0.455836*121.34*5.04),2)))</f>
        <v>278.77</v>
      </c>
      <c r="M126" s="53" t="s">
        <v>643</v>
      </c>
      <c r="N126" s="53" t="s">
        <v>644</v>
      </c>
    </row>
    <row r="127" spans="1:14" ht="52.5">
      <c r="A127" s="51">
        <v>91</v>
      </c>
      <c r="B127" s="52" t="s">
        <v>645</v>
      </c>
      <c r="C127" s="52" t="s">
        <v>646</v>
      </c>
      <c r="D127" s="51">
        <v>54.92</v>
      </c>
      <c r="E127" s="53">
        <v>54.29</v>
      </c>
      <c r="F127" s="53"/>
      <c r="G127" s="53" t="s">
        <v>647</v>
      </c>
      <c r="H127" s="54" t="s">
        <v>648</v>
      </c>
      <c r="I127" s="55">
        <v>10126</v>
      </c>
      <c r="J127" s="53"/>
      <c r="K127" s="53"/>
      <c r="L127" s="53" t="str">
        <f>IF(54.92*54.29=0," ",TEXT(,ROUND((54.92*54.29*3.396),2)))</f>
        <v>10125.54</v>
      </c>
      <c r="M127" s="53"/>
      <c r="N127" s="53"/>
    </row>
    <row r="128" spans="1:14" ht="63">
      <c r="A128" s="51">
        <v>92</v>
      </c>
      <c r="B128" s="52" t="s">
        <v>513</v>
      </c>
      <c r="C128" s="52" t="s">
        <v>514</v>
      </c>
      <c r="D128" s="51" t="s">
        <v>649</v>
      </c>
      <c r="E128" s="53" t="s">
        <v>516</v>
      </c>
      <c r="F128" s="53" t="s">
        <v>517</v>
      </c>
      <c r="G128" s="53" t="s">
        <v>518</v>
      </c>
      <c r="H128" s="54" t="s">
        <v>519</v>
      </c>
      <c r="I128" s="55">
        <v>2136</v>
      </c>
      <c r="J128" s="53">
        <v>1186</v>
      </c>
      <c r="K128" s="53" t="s">
        <v>650</v>
      </c>
      <c r="L128" s="53" t="str">
        <f>IF(0.133332*232.35=0," ",TEXT(,ROUND((0.133332*232.35*6.2),2)))</f>
        <v>192.07</v>
      </c>
      <c r="M128" s="53" t="s">
        <v>521</v>
      </c>
      <c r="N128" s="53" t="s">
        <v>651</v>
      </c>
    </row>
    <row r="129" spans="1:14" ht="52.5">
      <c r="A129" s="51">
        <v>93</v>
      </c>
      <c r="B129" s="52" t="s">
        <v>652</v>
      </c>
      <c r="C129" s="52" t="s">
        <v>653</v>
      </c>
      <c r="D129" s="51" t="s">
        <v>649</v>
      </c>
      <c r="E129" s="53">
        <v>5863.89</v>
      </c>
      <c r="F129" s="53"/>
      <c r="G129" s="53" t="s">
        <v>654</v>
      </c>
      <c r="H129" s="54" t="s">
        <v>655</v>
      </c>
      <c r="I129" s="55">
        <v>3705</v>
      </c>
      <c r="J129" s="53"/>
      <c r="K129" s="53"/>
      <c r="L129" s="53" t="str">
        <f>IF(0.133332*5863.89=0," ",TEXT(,ROUND((0.133332*5863.89*4.739),2)))</f>
        <v>3705.16</v>
      </c>
      <c r="M129" s="53"/>
      <c r="N129" s="53"/>
    </row>
    <row r="130" spans="1:14" ht="94.5">
      <c r="A130" s="51">
        <v>94</v>
      </c>
      <c r="B130" s="52" t="s">
        <v>656</v>
      </c>
      <c r="C130" s="52" t="s">
        <v>657</v>
      </c>
      <c r="D130" s="51" t="s">
        <v>658</v>
      </c>
      <c r="E130" s="53" t="s">
        <v>659</v>
      </c>
      <c r="F130" s="53">
        <v>20.5</v>
      </c>
      <c r="G130" s="53" t="s">
        <v>660</v>
      </c>
      <c r="H130" s="54" t="s">
        <v>661</v>
      </c>
      <c r="I130" s="55">
        <v>37320</v>
      </c>
      <c r="J130" s="53">
        <v>8166</v>
      </c>
      <c r="K130" s="53">
        <v>38</v>
      </c>
      <c r="L130" s="53" t="str">
        <f>IF(0.3312*14627.68=0," ",TEXT(,ROUND((0.3312*14627.68*6.01),2)))</f>
        <v>29116.57</v>
      </c>
      <c r="M130" s="53">
        <v>147</v>
      </c>
      <c r="N130" s="53">
        <v>48.69</v>
      </c>
    </row>
    <row r="131" spans="1:14" ht="42">
      <c r="A131" s="51">
        <v>95</v>
      </c>
      <c r="B131" s="52" t="s">
        <v>662</v>
      </c>
      <c r="C131" s="52" t="s">
        <v>663</v>
      </c>
      <c r="D131" s="51">
        <v>23</v>
      </c>
      <c r="E131" s="53">
        <v>59.81</v>
      </c>
      <c r="F131" s="53"/>
      <c r="G131" s="53" t="s">
        <v>664</v>
      </c>
      <c r="H131" s="54" t="s">
        <v>665</v>
      </c>
      <c r="I131" s="55">
        <v>2531</v>
      </c>
      <c r="J131" s="53"/>
      <c r="K131" s="53"/>
      <c r="L131" s="53" t="str">
        <f>IF(23*59.81=0," ",TEXT(,ROUND((23*59.81*1.84),2)))</f>
        <v>2531.16</v>
      </c>
      <c r="M131" s="53"/>
      <c r="N131" s="53"/>
    </row>
    <row r="132" spans="1:14" ht="52.5">
      <c r="A132" s="51">
        <v>96</v>
      </c>
      <c r="B132" s="52" t="s">
        <v>666</v>
      </c>
      <c r="C132" s="52" t="s">
        <v>667</v>
      </c>
      <c r="D132" s="51" t="s">
        <v>668</v>
      </c>
      <c r="E132" s="53" t="s">
        <v>669</v>
      </c>
      <c r="F132" s="53">
        <v>10.2</v>
      </c>
      <c r="G132" s="53" t="s">
        <v>670</v>
      </c>
      <c r="H132" s="54" t="s">
        <v>671</v>
      </c>
      <c r="I132" s="55">
        <v>1190</v>
      </c>
      <c r="J132" s="53">
        <v>581</v>
      </c>
      <c r="K132" s="53">
        <v>105</v>
      </c>
      <c r="L132" s="53" t="str">
        <f>IF(1.71*60.66=0," ",TEXT(,ROUND((1.71*60.66*4.86),2)))</f>
        <v>504.12</v>
      </c>
      <c r="M132" s="53">
        <v>2.07</v>
      </c>
      <c r="N132" s="53">
        <v>3.54</v>
      </c>
    </row>
    <row r="133" spans="1:14" ht="52.5">
      <c r="A133" s="51">
        <v>97</v>
      </c>
      <c r="B133" s="52" t="s">
        <v>672</v>
      </c>
      <c r="C133" s="52" t="s">
        <v>0</v>
      </c>
      <c r="D133" s="51">
        <v>1</v>
      </c>
      <c r="E133" s="53">
        <v>2679.27</v>
      </c>
      <c r="F133" s="53"/>
      <c r="G133" s="53" t="s">
        <v>1</v>
      </c>
      <c r="H133" s="54" t="s">
        <v>2</v>
      </c>
      <c r="I133" s="55">
        <v>10722</v>
      </c>
      <c r="J133" s="53"/>
      <c r="K133" s="53"/>
      <c r="L133" s="53" t="str">
        <f>IF(1*2679.27=0," ",TEXT(,ROUND((1*2679.27*4.002),2)))</f>
        <v>10722.44</v>
      </c>
      <c r="M133" s="53"/>
      <c r="N133" s="53"/>
    </row>
    <row r="134" spans="1:14" ht="52.5">
      <c r="A134" s="51">
        <v>98</v>
      </c>
      <c r="B134" s="52" t="s">
        <v>652</v>
      </c>
      <c r="C134" s="52" t="s">
        <v>653</v>
      </c>
      <c r="D134" s="51">
        <v>0.05154</v>
      </c>
      <c r="E134" s="53">
        <v>5863.89</v>
      </c>
      <c r="F134" s="53"/>
      <c r="G134" s="53" t="s">
        <v>654</v>
      </c>
      <c r="H134" s="54" t="s">
        <v>655</v>
      </c>
      <c r="I134" s="55">
        <v>1432</v>
      </c>
      <c r="J134" s="53"/>
      <c r="K134" s="53"/>
      <c r="L134" s="53" t="str">
        <f>IF(0.05154*5863.89=0," ",TEXT(,ROUND((0.05154*5863.89*4.739),2)))</f>
        <v>1432.24</v>
      </c>
      <c r="M134" s="53"/>
      <c r="N134" s="53"/>
    </row>
    <row r="135" spans="1:14" ht="17.25" customHeight="1">
      <c r="A135" s="70" t="s">
        <v>3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</row>
    <row r="136" spans="1:14" ht="52.5">
      <c r="A136" s="51">
        <v>99</v>
      </c>
      <c r="B136" s="52" t="s">
        <v>4</v>
      </c>
      <c r="C136" s="52" t="s">
        <v>5</v>
      </c>
      <c r="D136" s="51" t="s">
        <v>6</v>
      </c>
      <c r="E136" s="53" t="s">
        <v>7</v>
      </c>
      <c r="F136" s="53" t="s">
        <v>8</v>
      </c>
      <c r="G136" s="53" t="s">
        <v>9</v>
      </c>
      <c r="H136" s="54" t="s">
        <v>10</v>
      </c>
      <c r="I136" s="55">
        <v>27123</v>
      </c>
      <c r="J136" s="53">
        <v>3267</v>
      </c>
      <c r="K136" s="53" t="s">
        <v>11</v>
      </c>
      <c r="L136" s="53" t="str">
        <f>IF(0.5148*6310.52=0," ",TEXT(,ROUND((0.5148*6310.52*7.31),2)))</f>
        <v>23747.67</v>
      </c>
      <c r="M136" s="53" t="s">
        <v>12</v>
      </c>
      <c r="N136" s="53" t="s">
        <v>13</v>
      </c>
    </row>
    <row r="137" spans="1:14" ht="17.25" customHeight="1">
      <c r="A137" s="70" t="s">
        <v>14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4" ht="52.5">
      <c r="A138" s="51">
        <v>100</v>
      </c>
      <c r="B138" s="52" t="s">
        <v>15</v>
      </c>
      <c r="C138" s="52" t="s">
        <v>16</v>
      </c>
      <c r="D138" s="51">
        <v>6</v>
      </c>
      <c r="E138" s="53" t="s">
        <v>17</v>
      </c>
      <c r="F138" s="53">
        <v>8.1</v>
      </c>
      <c r="G138" s="53" t="s">
        <v>18</v>
      </c>
      <c r="H138" s="54" t="s">
        <v>19</v>
      </c>
      <c r="I138" s="55">
        <v>2383</v>
      </c>
      <c r="J138" s="53">
        <v>1241</v>
      </c>
      <c r="K138" s="53">
        <v>371</v>
      </c>
      <c r="L138" s="53" t="str">
        <f>IF(6*22.25=0," ",TEXT(,ROUND((6*22.25*5.78),2)))</f>
        <v>771.63</v>
      </c>
      <c r="M138" s="53">
        <v>1.26</v>
      </c>
      <c r="N138" s="53">
        <v>7.56</v>
      </c>
    </row>
    <row r="139" spans="1:14" ht="52.5">
      <c r="A139" s="51">
        <v>101</v>
      </c>
      <c r="B139" s="52" t="s">
        <v>20</v>
      </c>
      <c r="C139" s="52" t="s">
        <v>21</v>
      </c>
      <c r="D139" s="51">
        <v>6</v>
      </c>
      <c r="E139" s="53">
        <v>62.58</v>
      </c>
      <c r="F139" s="53"/>
      <c r="G139" s="53" t="s">
        <v>22</v>
      </c>
      <c r="H139" s="54" t="s">
        <v>23</v>
      </c>
      <c r="I139" s="55">
        <v>12720</v>
      </c>
      <c r="J139" s="53"/>
      <c r="K139" s="53"/>
      <c r="L139" s="53" t="str">
        <f>IF(6*62.58=0," ",TEXT(,ROUND((6*62.58*33.877),2)))</f>
        <v>12720.14</v>
      </c>
      <c r="M139" s="53"/>
      <c r="N139" s="53"/>
    </row>
    <row r="140" spans="1:14" ht="17.25" customHeight="1">
      <c r="A140" s="69" t="s">
        <v>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4" ht="115.5">
      <c r="A141" s="51">
        <v>102</v>
      </c>
      <c r="B141" s="52" t="s">
        <v>25</v>
      </c>
      <c r="C141" s="52" t="s">
        <v>26</v>
      </c>
      <c r="D141" s="51">
        <v>6</v>
      </c>
      <c r="E141" s="53" t="s">
        <v>27</v>
      </c>
      <c r="F141" s="53"/>
      <c r="G141" s="53" t="s">
        <v>28</v>
      </c>
      <c r="H141" s="54" t="s">
        <v>29</v>
      </c>
      <c r="I141" s="55">
        <v>23919</v>
      </c>
      <c r="J141" s="53">
        <v>23766</v>
      </c>
      <c r="K141" s="53"/>
      <c r="L141" s="53" t="str">
        <f>IF(6*4.93=0," ",TEXT(,ROUND((6*4.93*5.16),2)))</f>
        <v>152.63</v>
      </c>
      <c r="M141" s="53">
        <v>23.8</v>
      </c>
      <c r="N141" s="53">
        <v>142.8</v>
      </c>
    </row>
    <row r="142" spans="1:14" ht="17.25" customHeight="1">
      <c r="A142" s="69" t="s">
        <v>30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1:14" ht="52.5">
      <c r="A143" s="51">
        <v>103</v>
      </c>
      <c r="B143" s="52" t="s">
        <v>31</v>
      </c>
      <c r="C143" s="52" t="s">
        <v>32</v>
      </c>
      <c r="D143" s="51" t="s">
        <v>33</v>
      </c>
      <c r="E143" s="53" t="s">
        <v>34</v>
      </c>
      <c r="F143" s="53"/>
      <c r="G143" s="53" t="s">
        <v>35</v>
      </c>
      <c r="H143" s="54" t="s">
        <v>36</v>
      </c>
      <c r="I143" s="55">
        <v>34040</v>
      </c>
      <c r="J143" s="53">
        <v>33979</v>
      </c>
      <c r="K143" s="53"/>
      <c r="L143" s="53" t="str">
        <f>IF(2.25*8.02=0," ",TEXT(,ROUND((2.25*8.02*3.37),2)))</f>
        <v>60.81</v>
      </c>
      <c r="M143" s="53">
        <v>108.7</v>
      </c>
      <c r="N143" s="53">
        <v>244.58</v>
      </c>
    </row>
    <row r="144" spans="1:14" ht="52.5">
      <c r="A144" s="51">
        <v>104</v>
      </c>
      <c r="B144" s="52" t="s">
        <v>37</v>
      </c>
      <c r="C144" s="52" t="s">
        <v>38</v>
      </c>
      <c r="D144" s="51">
        <v>225</v>
      </c>
      <c r="E144" s="53">
        <v>56.5</v>
      </c>
      <c r="F144" s="53"/>
      <c r="G144" s="53" t="s">
        <v>39</v>
      </c>
      <c r="H144" s="54" t="s">
        <v>40</v>
      </c>
      <c r="I144" s="55">
        <v>33892</v>
      </c>
      <c r="J144" s="53"/>
      <c r="K144" s="53"/>
      <c r="L144" s="53" t="str">
        <f>IF(225*56.5=0," ",TEXT(,ROUND((225*56.5*2.666),2)))</f>
        <v>33891.53</v>
      </c>
      <c r="M144" s="53"/>
      <c r="N144" s="53"/>
    </row>
    <row r="145" spans="1:14" ht="52.5">
      <c r="A145" s="51">
        <v>105</v>
      </c>
      <c r="B145" s="52" t="s">
        <v>41</v>
      </c>
      <c r="C145" s="52" t="s">
        <v>42</v>
      </c>
      <c r="D145" s="51">
        <v>30</v>
      </c>
      <c r="E145" s="53">
        <v>34.8</v>
      </c>
      <c r="F145" s="53"/>
      <c r="G145" s="53" t="s">
        <v>43</v>
      </c>
      <c r="H145" s="54" t="s">
        <v>44</v>
      </c>
      <c r="I145" s="55">
        <v>5010</v>
      </c>
      <c r="J145" s="53"/>
      <c r="K145" s="53"/>
      <c r="L145" s="53" t="str">
        <f>IF(30*34.8=0," ",TEXT(,ROUND((30*34.8*4.799),2)))</f>
        <v>5010.16</v>
      </c>
      <c r="M145" s="53"/>
      <c r="N145" s="53"/>
    </row>
    <row r="146" spans="1:14" ht="52.5">
      <c r="A146" s="51">
        <v>106</v>
      </c>
      <c r="B146" s="52" t="s">
        <v>45</v>
      </c>
      <c r="C146" s="52" t="s">
        <v>46</v>
      </c>
      <c r="D146" s="51">
        <v>15</v>
      </c>
      <c r="E146" s="53">
        <v>67.8</v>
      </c>
      <c r="F146" s="53"/>
      <c r="G146" s="53" t="s">
        <v>47</v>
      </c>
      <c r="H146" s="54" t="s">
        <v>48</v>
      </c>
      <c r="I146" s="55">
        <v>3037</v>
      </c>
      <c r="J146" s="53"/>
      <c r="K146" s="53"/>
      <c r="L146" s="53" t="str">
        <f>IF(15*67.8=0," ",TEXT(,ROUND((15*67.8*2.986),2)))</f>
        <v>3036.76</v>
      </c>
      <c r="M146" s="53"/>
      <c r="N146" s="53"/>
    </row>
    <row r="147" spans="1:14" ht="52.5">
      <c r="A147" s="51">
        <v>107</v>
      </c>
      <c r="B147" s="52" t="s">
        <v>49</v>
      </c>
      <c r="C147" s="52" t="s">
        <v>50</v>
      </c>
      <c r="D147" s="51">
        <v>0.0947</v>
      </c>
      <c r="E147" s="53">
        <v>10100</v>
      </c>
      <c r="F147" s="53"/>
      <c r="G147" s="53" t="s">
        <v>51</v>
      </c>
      <c r="H147" s="54" t="s">
        <v>52</v>
      </c>
      <c r="I147" s="55">
        <v>2159</v>
      </c>
      <c r="J147" s="53"/>
      <c r="K147" s="53"/>
      <c r="L147" s="53" t="str">
        <f>IF(0.0947*10100=0," ",TEXT(,ROUND((0.0947*10100*2.257),2)))</f>
        <v>2158.75</v>
      </c>
      <c r="M147" s="53"/>
      <c r="N147" s="53"/>
    </row>
    <row r="148" spans="1:14" ht="31.5">
      <c r="A148" s="65" t="s">
        <v>53</v>
      </c>
      <c r="B148" s="66"/>
      <c r="C148" s="66"/>
      <c r="D148" s="66"/>
      <c r="E148" s="66"/>
      <c r="F148" s="66"/>
      <c r="G148" s="66"/>
      <c r="H148" s="66"/>
      <c r="I148" s="56">
        <v>3854569</v>
      </c>
      <c r="J148" s="56">
        <v>842981</v>
      </c>
      <c r="K148" s="56" t="s">
        <v>54</v>
      </c>
      <c r="L148" s="56">
        <v>2727261</v>
      </c>
      <c r="M148" s="56"/>
      <c r="N148" s="56" t="s">
        <v>55</v>
      </c>
    </row>
    <row r="149" spans="1:14" ht="21">
      <c r="A149" s="65" t="s">
        <v>56</v>
      </c>
      <c r="B149" s="66"/>
      <c r="C149" s="66"/>
      <c r="D149" s="66"/>
      <c r="E149" s="66"/>
      <c r="F149" s="66"/>
      <c r="G149" s="66"/>
      <c r="H149" s="66"/>
      <c r="I149" s="56">
        <v>3945607</v>
      </c>
      <c r="J149" s="56">
        <v>916361</v>
      </c>
      <c r="K149" s="56" t="s">
        <v>57</v>
      </c>
      <c r="L149" s="56">
        <v>2727261</v>
      </c>
      <c r="M149" s="56"/>
      <c r="N149" s="56" t="s">
        <v>58</v>
      </c>
    </row>
    <row r="150" spans="1:14" ht="12.75">
      <c r="A150" s="65" t="s">
        <v>59</v>
      </c>
      <c r="B150" s="66"/>
      <c r="C150" s="66"/>
      <c r="D150" s="66"/>
      <c r="E150" s="66"/>
      <c r="F150" s="66"/>
      <c r="G150" s="66"/>
      <c r="H150" s="66"/>
      <c r="I150" s="56"/>
      <c r="J150" s="56"/>
      <c r="K150" s="56"/>
      <c r="L150" s="56"/>
      <c r="M150" s="56"/>
      <c r="N150" s="56"/>
    </row>
    <row r="151" spans="1:14" ht="31.5">
      <c r="A151" s="65" t="s">
        <v>60</v>
      </c>
      <c r="B151" s="66"/>
      <c r="C151" s="66"/>
      <c r="D151" s="66"/>
      <c r="E151" s="66"/>
      <c r="F151" s="66"/>
      <c r="G151" s="66"/>
      <c r="H151" s="66"/>
      <c r="I151" s="56">
        <v>91038</v>
      </c>
      <c r="J151" s="56">
        <v>73381</v>
      </c>
      <c r="K151" s="56" t="s">
        <v>61</v>
      </c>
      <c r="L151" s="56"/>
      <c r="M151" s="56"/>
      <c r="N151" s="56" t="s">
        <v>62</v>
      </c>
    </row>
    <row r="152" spans="1:14" ht="12.75">
      <c r="A152" s="65" t="s">
        <v>63</v>
      </c>
      <c r="B152" s="66"/>
      <c r="C152" s="66"/>
      <c r="D152" s="66"/>
      <c r="E152" s="66"/>
      <c r="F152" s="66"/>
      <c r="G152" s="66"/>
      <c r="H152" s="66"/>
      <c r="I152" s="56">
        <v>854241</v>
      </c>
      <c r="J152" s="56"/>
      <c r="K152" s="56"/>
      <c r="L152" s="56"/>
      <c r="M152" s="56"/>
      <c r="N152" s="56"/>
    </row>
    <row r="153" spans="1:14" ht="12.75">
      <c r="A153" s="65" t="s">
        <v>59</v>
      </c>
      <c r="B153" s="66"/>
      <c r="C153" s="66"/>
      <c r="D153" s="66"/>
      <c r="E153" s="66"/>
      <c r="F153" s="66"/>
      <c r="G153" s="66"/>
      <c r="H153" s="66"/>
      <c r="I153" s="56"/>
      <c r="J153" s="56"/>
      <c r="K153" s="56"/>
      <c r="L153" s="56"/>
      <c r="M153" s="56"/>
      <c r="N153" s="56"/>
    </row>
    <row r="154" spans="1:14" ht="12.75">
      <c r="A154" s="65" t="s">
        <v>64</v>
      </c>
      <c r="B154" s="66"/>
      <c r="C154" s="66"/>
      <c r="D154" s="66"/>
      <c r="E154" s="66"/>
      <c r="F154" s="66"/>
      <c r="G154" s="66"/>
      <c r="H154" s="66"/>
      <c r="I154" s="56">
        <v>2316</v>
      </c>
      <c r="J154" s="56"/>
      <c r="K154" s="56"/>
      <c r="L154" s="56"/>
      <c r="M154" s="56"/>
      <c r="N154" s="56"/>
    </row>
    <row r="155" spans="1:14" ht="12.75">
      <c r="A155" s="65" t="s">
        <v>65</v>
      </c>
      <c r="B155" s="66"/>
      <c r="C155" s="66"/>
      <c r="D155" s="66"/>
      <c r="E155" s="66"/>
      <c r="F155" s="66"/>
      <c r="G155" s="66"/>
      <c r="H155" s="66"/>
      <c r="I155" s="56">
        <v>60177</v>
      </c>
      <c r="J155" s="56"/>
      <c r="K155" s="56"/>
      <c r="L155" s="56"/>
      <c r="M155" s="56"/>
      <c r="N155" s="56"/>
    </row>
    <row r="156" spans="1:14" ht="12.75">
      <c r="A156" s="65" t="s">
        <v>66</v>
      </c>
      <c r="B156" s="66"/>
      <c r="C156" s="66"/>
      <c r="D156" s="66"/>
      <c r="E156" s="66"/>
      <c r="F156" s="66"/>
      <c r="G156" s="66"/>
      <c r="H156" s="66"/>
      <c r="I156" s="56">
        <v>22525</v>
      </c>
      <c r="J156" s="56"/>
      <c r="K156" s="56"/>
      <c r="L156" s="56"/>
      <c r="M156" s="56"/>
      <c r="N156" s="56"/>
    </row>
    <row r="157" spans="1:14" ht="12.75">
      <c r="A157" s="65" t="s">
        <v>67</v>
      </c>
      <c r="B157" s="66"/>
      <c r="C157" s="66"/>
      <c r="D157" s="66"/>
      <c r="E157" s="66"/>
      <c r="F157" s="66"/>
      <c r="G157" s="66"/>
      <c r="H157" s="66"/>
      <c r="I157" s="56">
        <v>18537</v>
      </c>
      <c r="J157" s="56"/>
      <c r="K157" s="56"/>
      <c r="L157" s="56"/>
      <c r="M157" s="56"/>
      <c r="N157" s="56"/>
    </row>
    <row r="158" spans="1:14" ht="12.75">
      <c r="A158" s="65" t="s">
        <v>68</v>
      </c>
      <c r="B158" s="66"/>
      <c r="C158" s="66"/>
      <c r="D158" s="66"/>
      <c r="E158" s="66"/>
      <c r="F158" s="66"/>
      <c r="G158" s="66"/>
      <c r="H158" s="66"/>
      <c r="I158" s="56">
        <v>49762</v>
      </c>
      <c r="J158" s="56"/>
      <c r="K158" s="56"/>
      <c r="L158" s="56"/>
      <c r="M158" s="56"/>
      <c r="N158" s="56"/>
    </row>
    <row r="159" spans="1:14" ht="12.75">
      <c r="A159" s="65" t="s">
        <v>69</v>
      </c>
      <c r="B159" s="66"/>
      <c r="C159" s="66"/>
      <c r="D159" s="66"/>
      <c r="E159" s="66"/>
      <c r="F159" s="66"/>
      <c r="G159" s="66"/>
      <c r="H159" s="66"/>
      <c r="I159" s="56">
        <v>79821</v>
      </c>
      <c r="J159" s="56"/>
      <c r="K159" s="56"/>
      <c r="L159" s="56"/>
      <c r="M159" s="56"/>
      <c r="N159" s="56"/>
    </row>
    <row r="160" spans="1:14" ht="12.75">
      <c r="A160" s="65" t="s">
        <v>70</v>
      </c>
      <c r="B160" s="66"/>
      <c r="C160" s="66"/>
      <c r="D160" s="66"/>
      <c r="E160" s="66"/>
      <c r="F160" s="66"/>
      <c r="G160" s="66"/>
      <c r="H160" s="66"/>
      <c r="I160" s="56">
        <v>314132</v>
      </c>
      <c r="J160" s="56"/>
      <c r="K160" s="56"/>
      <c r="L160" s="56"/>
      <c r="M160" s="56"/>
      <c r="N160" s="56"/>
    </row>
    <row r="161" spans="1:14" ht="12.75">
      <c r="A161" s="65" t="s">
        <v>71</v>
      </c>
      <c r="B161" s="66"/>
      <c r="C161" s="66"/>
      <c r="D161" s="66"/>
      <c r="E161" s="66"/>
      <c r="F161" s="66"/>
      <c r="G161" s="66"/>
      <c r="H161" s="66"/>
      <c r="I161" s="56">
        <v>165513</v>
      </c>
      <c r="J161" s="56"/>
      <c r="K161" s="56"/>
      <c r="L161" s="56"/>
      <c r="M161" s="56"/>
      <c r="N161" s="56"/>
    </row>
    <row r="162" spans="1:14" ht="12.75">
      <c r="A162" s="65" t="s">
        <v>72</v>
      </c>
      <c r="B162" s="66"/>
      <c r="C162" s="66"/>
      <c r="D162" s="66"/>
      <c r="E162" s="66"/>
      <c r="F162" s="66"/>
      <c r="G162" s="66"/>
      <c r="H162" s="66"/>
      <c r="I162" s="56">
        <v>12090</v>
      </c>
      <c r="J162" s="56"/>
      <c r="K162" s="56"/>
      <c r="L162" s="56"/>
      <c r="M162" s="56"/>
      <c r="N162" s="56"/>
    </row>
    <row r="163" spans="1:14" ht="12.75">
      <c r="A163" s="65" t="s">
        <v>73</v>
      </c>
      <c r="B163" s="66"/>
      <c r="C163" s="66"/>
      <c r="D163" s="66"/>
      <c r="E163" s="66"/>
      <c r="F163" s="66"/>
      <c r="G163" s="66"/>
      <c r="H163" s="66"/>
      <c r="I163" s="56">
        <v>19178</v>
      </c>
      <c r="J163" s="56"/>
      <c r="K163" s="56"/>
      <c r="L163" s="56"/>
      <c r="M163" s="56"/>
      <c r="N163" s="56"/>
    </row>
    <row r="164" spans="1:14" ht="12.75">
      <c r="A164" s="65" t="s">
        <v>74</v>
      </c>
      <c r="B164" s="66"/>
      <c r="C164" s="66"/>
      <c r="D164" s="66"/>
      <c r="E164" s="66"/>
      <c r="F164" s="66"/>
      <c r="G164" s="66"/>
      <c r="H164" s="66"/>
      <c r="I164" s="56">
        <v>110190</v>
      </c>
      <c r="J164" s="56"/>
      <c r="K164" s="56"/>
      <c r="L164" s="56"/>
      <c r="M164" s="56"/>
      <c r="N164" s="56"/>
    </row>
    <row r="165" spans="1:14" ht="12.75">
      <c r="A165" s="65" t="s">
        <v>75</v>
      </c>
      <c r="B165" s="66"/>
      <c r="C165" s="66"/>
      <c r="D165" s="66"/>
      <c r="E165" s="66"/>
      <c r="F165" s="66"/>
      <c r="G165" s="66"/>
      <c r="H165" s="66"/>
      <c r="I165" s="56">
        <v>463338</v>
      </c>
      <c r="J165" s="56"/>
      <c r="K165" s="56"/>
      <c r="L165" s="56"/>
      <c r="M165" s="56"/>
      <c r="N165" s="56"/>
    </row>
    <row r="166" spans="1:14" ht="12.75">
      <c r="A166" s="65" t="s">
        <v>59</v>
      </c>
      <c r="B166" s="66"/>
      <c r="C166" s="66"/>
      <c r="D166" s="66"/>
      <c r="E166" s="66"/>
      <c r="F166" s="66"/>
      <c r="G166" s="66"/>
      <c r="H166" s="66"/>
      <c r="I166" s="56"/>
      <c r="J166" s="56"/>
      <c r="K166" s="56"/>
      <c r="L166" s="56"/>
      <c r="M166" s="56"/>
      <c r="N166" s="56"/>
    </row>
    <row r="167" spans="1:14" ht="12.75">
      <c r="A167" s="65" t="s">
        <v>76</v>
      </c>
      <c r="B167" s="66"/>
      <c r="C167" s="66"/>
      <c r="D167" s="66"/>
      <c r="E167" s="66"/>
      <c r="F167" s="66"/>
      <c r="G167" s="66"/>
      <c r="H167" s="66"/>
      <c r="I167" s="56">
        <v>1655</v>
      </c>
      <c r="J167" s="56"/>
      <c r="K167" s="56"/>
      <c r="L167" s="56"/>
      <c r="M167" s="56"/>
      <c r="N167" s="56"/>
    </row>
    <row r="168" spans="1:14" ht="12.75">
      <c r="A168" s="65" t="s">
        <v>77</v>
      </c>
      <c r="B168" s="66"/>
      <c r="C168" s="66"/>
      <c r="D168" s="66"/>
      <c r="E168" s="66"/>
      <c r="F168" s="66"/>
      <c r="G168" s="66"/>
      <c r="H168" s="66"/>
      <c r="I168" s="56">
        <v>150085</v>
      </c>
      <c r="J168" s="56"/>
      <c r="K168" s="56"/>
      <c r="L168" s="56"/>
      <c r="M168" s="56"/>
      <c r="N168" s="56"/>
    </row>
    <row r="169" spans="1:14" ht="12.75">
      <c r="A169" s="65" t="s">
        <v>78</v>
      </c>
      <c r="B169" s="66"/>
      <c r="C169" s="66"/>
      <c r="D169" s="66"/>
      <c r="E169" s="66"/>
      <c r="F169" s="66"/>
      <c r="G169" s="66"/>
      <c r="H169" s="66"/>
      <c r="I169" s="56">
        <v>79158</v>
      </c>
      <c r="J169" s="56"/>
      <c r="K169" s="56"/>
      <c r="L169" s="56"/>
      <c r="M169" s="56"/>
      <c r="N169" s="56"/>
    </row>
    <row r="170" spans="1:14" ht="12.75">
      <c r="A170" s="65" t="s">
        <v>79</v>
      </c>
      <c r="B170" s="66"/>
      <c r="C170" s="66"/>
      <c r="D170" s="66"/>
      <c r="E170" s="66"/>
      <c r="F170" s="66"/>
      <c r="G170" s="66"/>
      <c r="H170" s="66"/>
      <c r="I170" s="56">
        <v>56431</v>
      </c>
      <c r="J170" s="56"/>
      <c r="K170" s="56"/>
      <c r="L170" s="56"/>
      <c r="M170" s="56"/>
      <c r="N170" s="56"/>
    </row>
    <row r="171" spans="1:14" ht="21.75" customHeight="1">
      <c r="A171" s="65" t="s">
        <v>80</v>
      </c>
      <c r="B171" s="66"/>
      <c r="C171" s="66"/>
      <c r="D171" s="66"/>
      <c r="E171" s="66"/>
      <c r="F171" s="66"/>
      <c r="G171" s="66"/>
      <c r="H171" s="66"/>
      <c r="I171" s="56">
        <v>79042</v>
      </c>
      <c r="J171" s="56"/>
      <c r="K171" s="56"/>
      <c r="L171" s="56"/>
      <c r="M171" s="56"/>
      <c r="N171" s="56"/>
    </row>
    <row r="172" spans="1:14" ht="12.75">
      <c r="A172" s="65" t="s">
        <v>81</v>
      </c>
      <c r="B172" s="66"/>
      <c r="C172" s="66"/>
      <c r="D172" s="66"/>
      <c r="E172" s="66"/>
      <c r="F172" s="66"/>
      <c r="G172" s="66"/>
      <c r="H172" s="66"/>
      <c r="I172" s="56">
        <v>7020</v>
      </c>
      <c r="J172" s="56"/>
      <c r="K172" s="56"/>
      <c r="L172" s="56"/>
      <c r="M172" s="56"/>
      <c r="N172" s="56"/>
    </row>
    <row r="173" spans="1:14" ht="12.75">
      <c r="A173" s="65" t="s">
        <v>82</v>
      </c>
      <c r="B173" s="66"/>
      <c r="C173" s="66"/>
      <c r="D173" s="66"/>
      <c r="E173" s="66"/>
      <c r="F173" s="66"/>
      <c r="G173" s="66"/>
      <c r="H173" s="66"/>
      <c r="I173" s="56">
        <v>10959</v>
      </c>
      <c r="J173" s="56"/>
      <c r="K173" s="56"/>
      <c r="L173" s="56"/>
      <c r="M173" s="56"/>
      <c r="N173" s="56"/>
    </row>
    <row r="174" spans="1:14" ht="12.75">
      <c r="A174" s="65" t="s">
        <v>83</v>
      </c>
      <c r="B174" s="66"/>
      <c r="C174" s="66"/>
      <c r="D174" s="66"/>
      <c r="E174" s="66"/>
      <c r="F174" s="66"/>
      <c r="G174" s="66"/>
      <c r="H174" s="66"/>
      <c r="I174" s="56">
        <v>16022</v>
      </c>
      <c r="J174" s="56"/>
      <c r="K174" s="56"/>
      <c r="L174" s="56"/>
      <c r="M174" s="56"/>
      <c r="N174" s="56"/>
    </row>
    <row r="175" spans="1:14" ht="12.75">
      <c r="A175" s="65" t="s">
        <v>84</v>
      </c>
      <c r="B175" s="66"/>
      <c r="C175" s="66"/>
      <c r="D175" s="66"/>
      <c r="E175" s="66"/>
      <c r="F175" s="66"/>
      <c r="G175" s="66"/>
      <c r="H175" s="66"/>
      <c r="I175" s="56">
        <v>62966</v>
      </c>
      <c r="J175" s="56"/>
      <c r="K175" s="56"/>
      <c r="L175" s="56"/>
      <c r="M175" s="56"/>
      <c r="N175" s="56"/>
    </row>
    <row r="176" spans="1:14" ht="12.75">
      <c r="A176" s="67" t="s">
        <v>85</v>
      </c>
      <c r="B176" s="68"/>
      <c r="C176" s="68"/>
      <c r="D176" s="68"/>
      <c r="E176" s="68"/>
      <c r="F176" s="68"/>
      <c r="G176" s="68"/>
      <c r="H176" s="68"/>
      <c r="I176" s="56"/>
      <c r="J176" s="56"/>
      <c r="K176" s="56"/>
      <c r="L176" s="56"/>
      <c r="M176" s="56"/>
      <c r="N176" s="56"/>
    </row>
    <row r="177" spans="1:14" ht="31.5">
      <c r="A177" s="65" t="s">
        <v>86</v>
      </c>
      <c r="B177" s="66"/>
      <c r="C177" s="66"/>
      <c r="D177" s="66"/>
      <c r="E177" s="66"/>
      <c r="F177" s="66"/>
      <c r="G177" s="66"/>
      <c r="H177" s="66"/>
      <c r="I177" s="56">
        <v>5208372</v>
      </c>
      <c r="J177" s="56"/>
      <c r="K177" s="56"/>
      <c r="L177" s="56"/>
      <c r="M177" s="56"/>
      <c r="N177" s="56" t="s">
        <v>87</v>
      </c>
    </row>
    <row r="178" spans="1:14" ht="12.75">
      <c r="A178" s="65" t="s">
        <v>88</v>
      </c>
      <c r="B178" s="66"/>
      <c r="C178" s="66"/>
      <c r="D178" s="66"/>
      <c r="E178" s="66"/>
      <c r="F178" s="66"/>
      <c r="G178" s="66"/>
      <c r="H178" s="66"/>
      <c r="I178" s="56">
        <v>54814</v>
      </c>
      <c r="J178" s="56"/>
      <c r="K178" s="56"/>
      <c r="L178" s="56"/>
      <c r="M178" s="56"/>
      <c r="N178" s="56">
        <v>142.8</v>
      </c>
    </row>
    <row r="179" spans="1:14" ht="31.5">
      <c r="A179" s="65" t="s">
        <v>89</v>
      </c>
      <c r="B179" s="66"/>
      <c r="C179" s="66"/>
      <c r="D179" s="66"/>
      <c r="E179" s="66"/>
      <c r="F179" s="66"/>
      <c r="G179" s="66"/>
      <c r="H179" s="66"/>
      <c r="I179" s="56">
        <v>5263186</v>
      </c>
      <c r="J179" s="56"/>
      <c r="K179" s="56"/>
      <c r="L179" s="56"/>
      <c r="M179" s="56"/>
      <c r="N179" s="56" t="s">
        <v>58</v>
      </c>
    </row>
    <row r="180" spans="1:14" ht="12.75">
      <c r="A180" s="65" t="s">
        <v>90</v>
      </c>
      <c r="B180" s="66"/>
      <c r="C180" s="66"/>
      <c r="D180" s="66"/>
      <c r="E180" s="66"/>
      <c r="F180" s="66"/>
      <c r="G180" s="66"/>
      <c r="H180" s="66"/>
      <c r="I180" s="56"/>
      <c r="J180" s="56"/>
      <c r="K180" s="56"/>
      <c r="L180" s="56"/>
      <c r="M180" s="56"/>
      <c r="N180" s="56"/>
    </row>
    <row r="181" spans="1:14" ht="12.75">
      <c r="A181" s="65" t="s">
        <v>91</v>
      </c>
      <c r="B181" s="66"/>
      <c r="C181" s="66"/>
      <c r="D181" s="66"/>
      <c r="E181" s="66"/>
      <c r="F181" s="66"/>
      <c r="G181" s="66"/>
      <c r="H181" s="66"/>
      <c r="I181" s="56">
        <v>2727261</v>
      </c>
      <c r="J181" s="56"/>
      <c r="K181" s="56"/>
      <c r="L181" s="56"/>
      <c r="M181" s="56"/>
      <c r="N181" s="56"/>
    </row>
    <row r="182" spans="1:14" ht="12.75">
      <c r="A182" s="65" t="s">
        <v>92</v>
      </c>
      <c r="B182" s="66"/>
      <c r="C182" s="66"/>
      <c r="D182" s="66"/>
      <c r="E182" s="66"/>
      <c r="F182" s="66"/>
      <c r="G182" s="66"/>
      <c r="H182" s="66"/>
      <c r="I182" s="56">
        <v>301985</v>
      </c>
      <c r="J182" s="56"/>
      <c r="K182" s="56"/>
      <c r="L182" s="56"/>
      <c r="M182" s="56"/>
      <c r="N182" s="56"/>
    </row>
    <row r="183" spans="1:14" ht="12.75">
      <c r="A183" s="65" t="s">
        <v>93</v>
      </c>
      <c r="B183" s="66"/>
      <c r="C183" s="66"/>
      <c r="D183" s="66"/>
      <c r="E183" s="66"/>
      <c r="F183" s="66"/>
      <c r="G183" s="66"/>
      <c r="H183" s="66"/>
      <c r="I183" s="56">
        <v>958449</v>
      </c>
      <c r="J183" s="56"/>
      <c r="K183" s="56"/>
      <c r="L183" s="56"/>
      <c r="M183" s="56"/>
      <c r="N183" s="56"/>
    </row>
    <row r="184" spans="1:14" ht="12.75">
      <c r="A184" s="65" t="s">
        <v>94</v>
      </c>
      <c r="B184" s="66"/>
      <c r="C184" s="66"/>
      <c r="D184" s="66"/>
      <c r="E184" s="66"/>
      <c r="F184" s="66"/>
      <c r="G184" s="66"/>
      <c r="H184" s="66"/>
      <c r="I184" s="56">
        <v>854241</v>
      </c>
      <c r="J184" s="56"/>
      <c r="K184" s="56"/>
      <c r="L184" s="56"/>
      <c r="M184" s="56"/>
      <c r="N184" s="56"/>
    </row>
    <row r="185" spans="1:14" ht="12.75">
      <c r="A185" s="65" t="s">
        <v>95</v>
      </c>
      <c r="B185" s="66"/>
      <c r="C185" s="66"/>
      <c r="D185" s="66"/>
      <c r="E185" s="66"/>
      <c r="F185" s="66"/>
      <c r="G185" s="66"/>
      <c r="H185" s="66"/>
      <c r="I185" s="56">
        <v>463338</v>
      </c>
      <c r="J185" s="56"/>
      <c r="K185" s="56"/>
      <c r="L185" s="56"/>
      <c r="M185" s="56"/>
      <c r="N185" s="56"/>
    </row>
    <row r="186" spans="1:14" ht="31.5">
      <c r="A186" s="67" t="s">
        <v>96</v>
      </c>
      <c r="B186" s="68"/>
      <c r="C186" s="68"/>
      <c r="D186" s="68"/>
      <c r="E186" s="68"/>
      <c r="F186" s="68"/>
      <c r="G186" s="68"/>
      <c r="H186" s="68"/>
      <c r="I186" s="56">
        <v>5263186</v>
      </c>
      <c r="J186" s="56"/>
      <c r="K186" s="56"/>
      <c r="L186" s="56"/>
      <c r="M186" s="56"/>
      <c r="N186" s="56" t="s">
        <v>58</v>
      </c>
    </row>
    <row r="187" spans="1:14" ht="12.75">
      <c r="A187" s="59"/>
      <c r="B187" s="86" t="s">
        <v>675</v>
      </c>
      <c r="C187" s="86"/>
      <c r="D187" s="60"/>
      <c r="E187" s="60"/>
      <c r="F187" s="60"/>
      <c r="G187" s="60"/>
      <c r="H187" s="61"/>
      <c r="I187" s="63">
        <f>I186*0.02</f>
        <v>105263.72</v>
      </c>
      <c r="J187" s="56"/>
      <c r="K187" s="56"/>
      <c r="L187" s="56"/>
      <c r="M187" s="56"/>
      <c r="N187" s="56"/>
    </row>
    <row r="188" spans="1:14" ht="12.75">
      <c r="A188" s="59"/>
      <c r="B188" s="60" t="s">
        <v>676</v>
      </c>
      <c r="C188" s="60"/>
      <c r="D188" s="60"/>
      <c r="E188" s="60"/>
      <c r="F188" s="60"/>
      <c r="G188" s="60"/>
      <c r="H188" s="61"/>
      <c r="I188" s="63">
        <f>I186+I187</f>
        <v>5368449.72</v>
      </c>
      <c r="J188" s="56"/>
      <c r="K188" s="56"/>
      <c r="L188" s="56"/>
      <c r="M188" s="56"/>
      <c r="N188" s="56"/>
    </row>
    <row r="189" spans="1:14" ht="12.75">
      <c r="A189" s="59"/>
      <c r="B189" s="62" t="s">
        <v>677</v>
      </c>
      <c r="C189" s="60"/>
      <c r="D189" s="60"/>
      <c r="E189" s="60"/>
      <c r="F189" s="60"/>
      <c r="G189" s="60"/>
      <c r="H189" s="61"/>
      <c r="I189" s="64">
        <v>966321</v>
      </c>
      <c r="J189" s="56"/>
      <c r="K189" s="56"/>
      <c r="L189" s="56"/>
      <c r="M189" s="56"/>
      <c r="N189" s="56"/>
    </row>
    <row r="190" spans="1:14" ht="12.75">
      <c r="A190" s="59"/>
      <c r="B190" s="60" t="s">
        <v>676</v>
      </c>
      <c r="C190" s="60"/>
      <c r="D190" s="60"/>
      <c r="E190" s="60"/>
      <c r="F190" s="60"/>
      <c r="G190" s="60"/>
      <c r="H190" s="61"/>
      <c r="I190" s="64">
        <v>6334771</v>
      </c>
      <c r="J190" s="56"/>
      <c r="K190" s="56"/>
      <c r="L190" s="56"/>
      <c r="M190" s="56"/>
      <c r="N190" s="56"/>
    </row>
    <row r="191" spans="1:14" ht="12.75">
      <c r="A191" s="48"/>
      <c r="B191" s="38"/>
      <c r="C191" s="38"/>
      <c r="D191" s="48"/>
      <c r="E191" s="32"/>
      <c r="F191" s="32"/>
      <c r="G191" s="32"/>
      <c r="H191" s="32"/>
      <c r="I191" s="49"/>
      <c r="J191" s="32"/>
      <c r="K191" s="32"/>
      <c r="L191" s="32"/>
      <c r="M191" s="32"/>
      <c r="N191" s="50"/>
    </row>
    <row r="192" spans="1:14" ht="12.75">
      <c r="A192" s="36"/>
      <c r="B192" s="40"/>
      <c r="C192" s="40"/>
      <c r="D192" s="36"/>
      <c r="E192" s="37"/>
      <c r="F192" s="37"/>
      <c r="G192" s="37"/>
      <c r="H192" s="37"/>
      <c r="I192" s="39"/>
      <c r="J192" s="37"/>
      <c r="K192" s="37"/>
      <c r="L192" s="37"/>
      <c r="M192" s="37"/>
      <c r="N192" s="41"/>
    </row>
    <row r="193" spans="1:14" ht="12.75">
      <c r="A193" s="36"/>
      <c r="B193" s="40"/>
      <c r="C193" s="42" t="s">
        <v>674</v>
      </c>
      <c r="D193" s="36"/>
      <c r="E193" s="37"/>
      <c r="F193" s="42" t="s">
        <v>127</v>
      </c>
      <c r="G193" s="42"/>
      <c r="H193" s="42"/>
      <c r="I193" s="37"/>
      <c r="J193" s="37"/>
      <c r="K193" s="37"/>
      <c r="L193" s="37"/>
      <c r="M193" s="37"/>
      <c r="N193" s="41"/>
    </row>
    <row r="194" spans="1:14" ht="12.75">
      <c r="A194" s="43"/>
      <c r="B194" s="43"/>
      <c r="C194" s="43"/>
      <c r="D194" s="43"/>
      <c r="E194" s="44"/>
      <c r="F194" s="44"/>
      <c r="G194" s="44"/>
      <c r="H194" s="44"/>
      <c r="I194" s="44"/>
      <c r="J194" s="44"/>
      <c r="K194" s="44"/>
      <c r="L194" s="44"/>
      <c r="M194" s="44"/>
      <c r="N194" s="41"/>
    </row>
    <row r="195" spans="1:14" ht="12.75">
      <c r="A195" s="43"/>
      <c r="B195" s="43"/>
      <c r="C195" s="43"/>
      <c r="D195" s="43"/>
      <c r="E195" s="44"/>
      <c r="F195" s="44"/>
      <c r="G195" s="44"/>
      <c r="H195" s="44"/>
      <c r="I195" s="44"/>
      <c r="J195" s="44"/>
      <c r="K195" s="44"/>
      <c r="L195" s="44"/>
      <c r="M195" s="44"/>
      <c r="N195" s="41"/>
    </row>
    <row r="196" spans="1:14" ht="12.75">
      <c r="A196" s="45"/>
      <c r="B196" s="45"/>
      <c r="C196" s="45"/>
      <c r="D196" s="45"/>
      <c r="E196" s="26"/>
      <c r="F196" s="26"/>
      <c r="G196" s="26"/>
      <c r="H196" s="26"/>
      <c r="I196" s="26"/>
      <c r="J196" s="26"/>
      <c r="K196" s="26"/>
      <c r="L196" s="26"/>
      <c r="M196" s="26"/>
      <c r="N196" s="27"/>
    </row>
    <row r="197" spans="1:14" ht="12.75">
      <c r="A197" s="45"/>
      <c r="B197" s="43"/>
      <c r="C197" s="45"/>
      <c r="D197" s="45"/>
      <c r="E197" s="26"/>
      <c r="F197" s="26"/>
      <c r="G197" s="26"/>
      <c r="H197" s="26"/>
      <c r="I197" s="26"/>
      <c r="J197" s="26"/>
      <c r="K197" s="26"/>
      <c r="L197" s="26"/>
      <c r="M197" s="26"/>
      <c r="N197" s="27"/>
    </row>
    <row r="198" spans="1:14" ht="12.75">
      <c r="A198" s="45"/>
      <c r="B198" s="45"/>
      <c r="C198" s="45"/>
      <c r="D198" s="45"/>
      <c r="E198" s="26"/>
      <c r="F198" s="26"/>
      <c r="G198" s="26"/>
      <c r="H198" s="26"/>
      <c r="I198" s="26"/>
      <c r="J198" s="26"/>
      <c r="K198" s="26"/>
      <c r="L198" s="26"/>
      <c r="M198" s="26"/>
      <c r="N198" s="27"/>
    </row>
  </sheetData>
  <sheetProtection/>
  <mergeCells count="79">
    <mergeCell ref="A10:N10"/>
    <mergeCell ref="C11:E11"/>
    <mergeCell ref="D12:E12"/>
    <mergeCell ref="G17:G18"/>
    <mergeCell ref="M15:N16"/>
    <mergeCell ref="E15:G16"/>
    <mergeCell ref="A20:N20"/>
    <mergeCell ref="A34:N34"/>
    <mergeCell ref="A35:N35"/>
    <mergeCell ref="I17:I18"/>
    <mergeCell ref="K11:N13"/>
    <mergeCell ref="B187:C187"/>
    <mergeCell ref="B15:B18"/>
    <mergeCell ref="A49:N49"/>
    <mergeCell ref="J17:J18"/>
    <mergeCell ref="L17:L18"/>
    <mergeCell ref="N17:N18"/>
    <mergeCell ref="A15:A18"/>
    <mergeCell ref="D15:D18"/>
    <mergeCell ref="C15:C18"/>
    <mergeCell ref="I15:L16"/>
    <mergeCell ref="M17:M18"/>
    <mergeCell ref="H15:H18"/>
    <mergeCell ref="A65:N65"/>
    <mergeCell ref="A73:N73"/>
    <mergeCell ref="A74:N74"/>
    <mergeCell ref="A79:N79"/>
    <mergeCell ref="A53:N53"/>
    <mergeCell ref="A55:N55"/>
    <mergeCell ref="A58:N58"/>
    <mergeCell ref="A60:N60"/>
    <mergeCell ref="A125:N125"/>
    <mergeCell ref="A135:N135"/>
    <mergeCell ref="A137:N137"/>
    <mergeCell ref="A140:N140"/>
    <mergeCell ref="A89:N89"/>
    <mergeCell ref="A96:N96"/>
    <mergeCell ref="A97:N97"/>
    <mergeCell ref="A115:N115"/>
    <mergeCell ref="A151:H151"/>
    <mergeCell ref="A152:H152"/>
    <mergeCell ref="A153:H153"/>
    <mergeCell ref="A154:H154"/>
    <mergeCell ref="A142:N142"/>
    <mergeCell ref="A148:H148"/>
    <mergeCell ref="A149:H149"/>
    <mergeCell ref="A150:H150"/>
    <mergeCell ref="A159:H159"/>
    <mergeCell ref="A160:H160"/>
    <mergeCell ref="A161:H161"/>
    <mergeCell ref="A162:H162"/>
    <mergeCell ref="A155:H155"/>
    <mergeCell ref="A156:H156"/>
    <mergeCell ref="A157:H157"/>
    <mergeCell ref="A158:H158"/>
    <mergeCell ref="A167:H167"/>
    <mergeCell ref="A168:H168"/>
    <mergeCell ref="A169:H169"/>
    <mergeCell ref="A170:H170"/>
    <mergeCell ref="A163:H163"/>
    <mergeCell ref="A164:H164"/>
    <mergeCell ref="A165:H165"/>
    <mergeCell ref="A166:H166"/>
    <mergeCell ref="A175:H175"/>
    <mergeCell ref="A176:H176"/>
    <mergeCell ref="A177:H177"/>
    <mergeCell ref="A178:H178"/>
    <mergeCell ref="A171:H171"/>
    <mergeCell ref="A172:H172"/>
    <mergeCell ref="A173:H173"/>
    <mergeCell ref="A174:H174"/>
    <mergeCell ref="A183:H183"/>
    <mergeCell ref="A184:H184"/>
    <mergeCell ref="A185:H185"/>
    <mergeCell ref="A186:H186"/>
    <mergeCell ref="A179:H179"/>
    <mergeCell ref="A180:H180"/>
    <mergeCell ref="A181:H181"/>
    <mergeCell ref="A182:H182"/>
  </mergeCells>
  <printOptions/>
  <pageMargins left="0.2362204724409449" right="0.1968503937007874" top="0.35433070866141736" bottom="0.2755905511811024" header="0.2755905511811024" footer="0.1968503937007874"/>
  <pageSetup firstPageNumber="5" useFirstPageNumber="1" horizontalDpi="600" verticalDpi="600" orientation="landscape" paperSize="9" scale="9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Власкина Юлия Викторовна</cp:lastModifiedBy>
  <cp:lastPrinted>2015-05-21T04:06:04Z</cp:lastPrinted>
  <dcterms:created xsi:type="dcterms:W3CDTF">2003-01-28T12:33:10Z</dcterms:created>
  <dcterms:modified xsi:type="dcterms:W3CDTF">2015-06-03T07:26:11Z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