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Сметы конкурс\Томск, ул. Елизаровых, 35\"/>
    </mc:Choice>
  </mc:AlternateContent>
  <bookViews>
    <workbookView xWindow="0" yWindow="0" windowWidth="28800" windowHeight="1243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240" i="5" l="1"/>
  <c r="L241" i="5"/>
  <c r="L92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70" i="5"/>
  <c r="L171" i="5"/>
  <c r="L172" i="5"/>
  <c r="L173" i="5"/>
  <c r="L174" i="5"/>
  <c r="L175" i="5"/>
  <c r="L176" i="5"/>
  <c r="L177" i="5"/>
  <c r="L178" i="5"/>
  <c r="L179" i="5"/>
  <c r="L181" i="5"/>
  <c r="L182" i="5"/>
  <c r="L183" i="5"/>
  <c r="L184" i="5"/>
  <c r="L185" i="5"/>
  <c r="L186" i="5"/>
  <c r="L187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3" i="5"/>
  <c r="L204" i="5"/>
  <c r="L205" i="5"/>
  <c r="L206" i="5"/>
  <c r="L22" i="5"/>
  <c r="L23" i="5"/>
  <c r="L24" i="5"/>
  <c r="L25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2" i="5"/>
  <c r="L53" i="5"/>
  <c r="L54" i="5"/>
  <c r="L55" i="5"/>
  <c r="L56" i="5"/>
  <c r="L57" i="5"/>
  <c r="L58" i="5"/>
  <c r="L59" i="5"/>
  <c r="L60" i="5"/>
  <c r="L61" i="5"/>
  <c r="L62" i="5"/>
  <c r="L63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5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5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5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5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5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5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8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8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<sst xmlns="http://schemas.openxmlformats.org/spreadsheetml/2006/main" count="844" uniqueCount="628">
  <si>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</si>
  <si>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</si>
  <si>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</si>
  <si>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</si>
  <si>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</si>
  <si>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</si>
  <si>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</si>
  <si>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</si>
  <si>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</si>
  <si>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</si>
  <si>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</si>
  <si>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</si>
  <si>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</si>
  <si>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</si>
  <si>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</si>
  <si>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</si>
  <si>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</si>
  <si>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</si>
  <si>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</si>
  <si>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</si>
  <si>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</si>
  <si>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</si>
  <si>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</si>
  <si>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ЛОКАЛЬНЫЙ СМЕТНЫЙ РАСЧЕТ №  02-01-02</t>
  </si>
  <si>
    <t>Составил:____________________________</t>
  </si>
  <si>
    <t>Проверил:____________________________</t>
  </si>
  <si>
    <t xml:space="preserve">                           Раздел 1. Внутренняя система отопления</t>
  </si>
  <si>
    <t xml:space="preserve">                                   Демонтажные работы</t>
  </si>
  <si>
    <t>ФЕРр65-14-3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</si>
  <si>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50 мм, 100 м трубопровода
НР 63%=74%*0.85 от ФОТ
СП 40%=50%*0.8 от ФОТ
 </t>
  </si>
  <si>
    <t>391,01
371,91</t>
  </si>
  <si>
    <t xml:space="preserve">89.66 Разборка трубопроводов из водогазопроводных труб в зданиях и сооружениях: на сварке диаметром до 50 мм: ОЗП=15,34; ЭМ=15,52; ЗПМ=15,34; МАТ=5,49
 </t>
  </si>
  <si>
    <t>ФЕРр65-14-4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</si>
  <si>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100 мм, 100 м трубопровода
НР 63%=74%*0.85 от ФОТ
СП 40%=50%*0.8 от ФОТ
 </t>
  </si>
  <si>
    <t>603,66
557,01</t>
  </si>
  <si>
    <t xml:space="preserve">89.67 Разборка трубопроводов из водогазопроводных труб в зданиях и сооружениях: на сварке диаметром до 100 мм: ОЗП=15,34; ЭМ=15,52; ЗПМ=15,34; МАТ=5,51
 </t>
  </si>
  <si>
    <t>ФЕРр65-19-1
--------------------
Приказ Минстроя РФ от 30.01.14 №31/пр</t>
  </si>
  <si>
    <t xml:space="preserve">Демонтаж: радиаторов весом до 80 кг, 100 шт.
НР 63%=74%*0.85 от ФОТ
СП 40%=50%*0.8 от ФОТ
 </t>
  </si>
  <si>
    <t>935,72
865,7</t>
  </si>
  <si>
    <t>70,02
30,24</t>
  </si>
  <si>
    <t xml:space="preserve">89.94 Демонтаж нагревательных приборов: ОЗП=15,34; ЭМ=8; ЗПМ=15,34
 </t>
  </si>
  <si>
    <t>1030,69
853,54</t>
  </si>
  <si>
    <t>110
2,24</t>
  </si>
  <si>
    <t>202,4
4,12</t>
  </si>
  <si>
    <t>ФЕРр65-19-5
--------------------
Приказ Минстроя РФ от 30.01.14 №31/пр</t>
  </si>
  <si>
    <t xml:space="preserve">Демонтаж: конвекторов, 100 экм
НР 63%=74%*0.85 от ФОТ
СП 40%=50%*0.8 от ФОТ
 </t>
  </si>
  <si>
    <t>150,27
144,02</t>
  </si>
  <si>
    <t>6,25
2,7</t>
  </si>
  <si>
    <t>6,52
5,41</t>
  </si>
  <si>
    <t>18,3
0,2</t>
  </si>
  <si>
    <t>2,39
0,03</t>
  </si>
  <si>
    <t xml:space="preserve">                                   Монтажные работы</t>
  </si>
  <si>
    <t>ФЕР16-02-005-04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</si>
  <si>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80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</si>
  <si>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7383,45
895,11</t>
  </si>
  <si>
    <t>248,09
6,25</t>
  </si>
  <si>
    <t xml:space="preserve">16.64 Прокладка трубопроводов отопления и водоснабжения из стальных электросварных труб диаметром: 80 мм: ОЗП=15,34; ЭМ=11,09; ЗПМ=15,34; МАТ=4,29
 </t>
  </si>
  <si>
    <t>962,95
33,56</t>
  </si>
  <si>
    <t>91,71
0,46</t>
  </si>
  <si>
    <t>32,1
0,16</t>
  </si>
  <si>
    <t>ФЕР16-02-001-06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</si>
  <si>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</si>
  <si>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4928,17
452,7</t>
  </si>
  <si>
    <t>113,53
3,21</t>
  </si>
  <si>
    <t xml:space="preserve">16.31 Прокладка трубопроводов отопления из стальных водогазопроводных неоцинкованных труб диаметром: 50 мм: ОЗП=15,34; ЭМ=9,98; ЗПМ=15,34; МАТ=3,79
 </t>
  </si>
  <si>
    <t>362,55
15,77</t>
  </si>
  <si>
    <t>47,06
0,24</t>
  </si>
  <si>
    <t>15,06
0,08</t>
  </si>
  <si>
    <t>ФЕР16-02-001-05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</si>
  <si>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</si>
  <si>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3278,55
364,75</t>
  </si>
  <si>
    <t>58,3
2,54</t>
  </si>
  <si>
    <t xml:space="preserve">16.30 Прокладка трубопроводов отопления из стальных водогазопроводных неоцинкованных труб диаметром: 40 мм: ОЗП=15,34; ЭМ=10,12; ЗПМ=15,34; МАТ=5,32
 </t>
  </si>
  <si>
    <t>247,8
16,35</t>
  </si>
  <si>
    <t>37,92
0,19</t>
  </si>
  <si>
    <t>15,93
0,08</t>
  </si>
  <si>
    <t>ФЕР16-02-001-04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</si>
  <si>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</si>
  <si>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3513,01
364,75</t>
  </si>
  <si>
    <t xml:space="preserve">16.29 Прокладка трубопроводов отопления из стальных водогазопроводных неоцинкованных труб диаметром: 32 мм: ОЗП=15,34; ЭМ=10,12; ЗПМ=15,34; МАТ=4,17
 </t>
  </si>
  <si>
    <t>542,8
35,82</t>
  </si>
  <si>
    <t>34,89
0,17</t>
  </si>
  <si>
    <t>ФЕР16-02-001-03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</si>
  <si>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</si>
  <si>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3001,93
364,75</t>
  </si>
  <si>
    <t xml:space="preserve">16.28 Прокладка трубопроводов отопления из стальных водогазопроводных неоцинкованных труб диаметром: 25 мм: ОЗП=15,34; ЭМ=10,12; ЗПМ=15,34; МАТ=4,42
 </t>
  </si>
  <si>
    <t>182,9
12,07</t>
  </si>
  <si>
    <t>11,76
0,06</t>
  </si>
  <si>
    <t>ФЕР16-02-001-02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</si>
  <si>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</si>
  <si>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2789,32
364,75</t>
  </si>
  <si>
    <t xml:space="preserve">16.27 Прокладка трубопроводов отопления из стальных водогазопроводных неоцинкованных труб диаметром: 20 мм: ОЗП=15,34; ЭМ=10,12; ЗПМ=15,34; МАТ=4,17
 </t>
  </si>
  <si>
    <t>4979,6
328,57</t>
  </si>
  <si>
    <t>320,04
1,6</t>
  </si>
  <si>
    <t>ФЕР16-02-001-01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</si>
  <si>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</si>
  <si>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2411,86
364,75</t>
  </si>
  <si>
    <t xml:space="preserve">16.26 Прокладка трубопроводов отопления из стальных водогазопроводных неоцинкованных труб диаметром: 15 мм: ОЗП=15,34; ЭМ=10,12; ЗПМ=15,34; МАТ=4,36
 </t>
  </si>
  <si>
    <t>ФССЦ-302-1485
--------------------
Приказ Минстроя РФ от 30.01.14 №31/пр</t>
  </si>
  <si>
    <t xml:space="preserve">Кран шаровой В-В размером 1", шт.
 </t>
  </si>
  <si>
    <t xml:space="preserve">Кран шаровой В-В размером 1'; МАТ=1,943
 </t>
  </si>
  <si>
    <t>ФССЦ-302-1484
--------------------
Приказ Минстроя РФ от 30.01.14 №31/пр</t>
  </si>
  <si>
    <t xml:space="preserve">Кран шаровой В-В размером 3/4", шт.
 </t>
  </si>
  <si>
    <t>234
48+186</t>
  </si>
  <si>
    <t xml:space="preserve">Кран шаровой В-В размером 3/4'; МАТ=1,968
 </t>
  </si>
  <si>
    <t>ФССЦ-302-1483
--------------------
Приказ Минстроя РФ от 30.01.14 №31/пр</t>
  </si>
  <si>
    <t xml:space="preserve">Кран шаровой В-В размером 1/2", шт.
 </t>
  </si>
  <si>
    <t xml:space="preserve">Кран шаровой В-В размером 1/2'; МАТ=1,8
 </t>
  </si>
  <si>
    <t>Прайс "Водяной"</t>
  </si>
  <si>
    <t xml:space="preserve">Вентиль регулировочный 3/4 RBM (999,00/1,18/5,04=167,98), шт
 </t>
  </si>
  <si>
    <t xml:space="preserve">Индекс на материалы ФЕР-2001 2/2014; МАТ=5,04
 </t>
  </si>
  <si>
    <t>ФЕР16-05-001-02
--------------------
Приказ Минстроя РФ от 30.01.14 №31/пр</t>
  </si>
  <si>
    <t xml:space="preserve">Установка вентилей, задвижек, затворов, клапанов обратных, кранов проходных на трубопроводах из стальных труб диаметром: до 50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</si>
  <si>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101,71
15,33</t>
  </si>
  <si>
    <t xml:space="preserve">16.123 Установка вентилей, задвижек, затворов, клапанов обратных, кранов проходных на трубопроводах из стальных труб диаметром: до 50 мм: ОЗП=15,34; ЭМ=7,11; ЗПМ=15,34; МАТ=4,67
 </t>
  </si>
  <si>
    <t>ФССЦ-507-0983
--------------------
Приказ Минстроя РФ от 30.01.14 №31/пр</t>
  </si>
  <si>
    <t xml:space="preserve">Фланцы стальные плоские приварные из стали ВСт3сп2, ВСт3сп3, давлением 1,0 МПа (10 кгс/см2), диаметром 50 мм, шт.
 </t>
  </si>
  <si>
    <t xml:space="preserve">Фланцы стальные плоские приварные из стали ВСт3сп2, ВСт3сп3; давлением 1.0 МПа (10 кгс/см2), диаметром 50 мм; МАТ=4,955
 </t>
  </si>
  <si>
    <t>ФССЦ-507-0982
--------------------
Приказ Минстроя РФ от 30.01.14 №31/пр</t>
  </si>
  <si>
    <t xml:space="preserve">Фланцы стальные плоские приварные из стали ВСт3сп2, ВСт3сп3, давлением 1,0 МПа (10 кгс/см2), диаметром 40 мм, шт.
 </t>
  </si>
  <si>
    <t xml:space="preserve">Фланцы стальные плоские приварные из стали ВСт3сп2, ВСт3сп3; давлением 1.0 МПа (10 кгс/см2), диаметром 40 мм; МАТ=6,518
 </t>
  </si>
  <si>
    <t>Прайс "DANFOSS"</t>
  </si>
  <si>
    <t xml:space="preserve">Дисковый поворотный затвор VFY-WH с металлической рукояткой, Ду40, корпус с центрирующими проушинами, для установки в середине_x000D_
трубопровода; материалы: корпус — чугун (GG25); диск — нержавеющая сталь; уплотнение — EPDM; Тмакс. =120 °С (63,46х49/5,04=616,97), шт
 </t>
  </si>
  <si>
    <t>ФЕРм11-02-042-04
--------------------
Приказ Минстроя РФ от 30.01.14 №31/пр</t>
  </si>
  <si>
    <t xml:space="preserve">Клапан с рычажным приводом регулирующий, диаметр условного прохода: 40; 50 мм, 1 шт.
НР 68%=80%*0.85 от ФОТ
СП 48%=60%*0.8 от ФОТ
 </t>
  </si>
  <si>
    <t>143,92
19,67</t>
  </si>
  <si>
    <t>53,24
3,24</t>
  </si>
  <si>
    <t xml:space="preserve">57.8 Клапаны и заслонки с рычажным приводом: ОЗП=15,34; ЭМ=8,88; ЗПМ=15,34; МАТ=6,01
 </t>
  </si>
  <si>
    <t>1891,08
198,8</t>
  </si>
  <si>
    <t>2,25
0,24</t>
  </si>
  <si>
    <t>9
0,96</t>
  </si>
  <si>
    <t>Прайс "HERZ"</t>
  </si>
  <si>
    <t xml:space="preserve">Ручной балансировочный клапан ГЕРЦ 4017М Ду40, ШТРЕМЕКС-М (89.41/1,18*49/5,04=736,66), шт
 </t>
  </si>
  <si>
    <t>ФЕР18-03-001-01
--------------------
Приказ Минстроя РФ от 30.01.14 №31/пр</t>
  </si>
  <si>
    <t xml:space="preserve">Установка радиаторов: чугунных,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</si>
  <si>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34382,42
780,88</t>
  </si>
  <si>
    <t>484,86
45,9</t>
  </si>
  <si>
    <t xml:space="preserve">18.9. Установка радиаторов чугунных: ОЗП=15,34; ЭМ=9,29; ЗПМ=15,34; МАТ=7,85
 </t>
  </si>
  <si>
    <t>8814,15
1377,8</t>
  </si>
  <si>
    <t>87,06
3,4</t>
  </si>
  <si>
    <t>170,36
6,65</t>
  </si>
  <si>
    <t>ФЕР18-03-001-03
--------------------
Приказ Минстроя РФ от 30.01.14 №31/пр</t>
  </si>
  <si>
    <t xml:space="preserve">Установка конвекторов, 100 кВт радиаторов и конвекторов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</si>
  <si>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20982,15
996,16</t>
  </si>
  <si>
    <t>241,7
17,89</t>
  </si>
  <si>
    <t xml:space="preserve">18.11. Установка конвекторов: ОЗП=15,34; ЭМ=9,36; ЗПМ=15,34; МАТ=2,66
 </t>
  </si>
  <si>
    <t>166,73
20,22</t>
  </si>
  <si>
    <t>111,06
1,33</t>
  </si>
  <si>
    <t>8,19
0,1</t>
  </si>
  <si>
    <t>ФЕР18-07-001-05
--------------------
Приказ Минстроя РФ от 30.01.14 №31/пр</t>
  </si>
  <si>
    <t xml:space="preserve">Установка кранов воздушных,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</si>
  <si>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27,34
1,41</t>
  </si>
  <si>
    <t xml:space="preserve">18.79 Установка кранов воздушных: ОЗП=15,34; МАТ=2,19
 </t>
  </si>
  <si>
    <t xml:space="preserve">Кран шаровой латунный BVR-D фирмы Danfoss полнопроходной с внутренней резьбой со спускным элементом и заглушкой, диаметром 15мм (10.94х49/5,04=106,36), 49 - курс евро на 2кв.2014г., шт
 </t>
  </si>
  <si>
    <t>ФЕР16-07-005-02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</si>
  <si>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</si>
  <si>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133,82
67,07</t>
  </si>
  <si>
    <t xml:space="preserve">16.197 Гидравлическое испытание трубопроводов систем отопления, водопровода и горячего водоснабжения диаметром: до 100 мм: ОЗП=15,34; ЭМ=0,72; ЗПМ=15,34; МАТ=9,88
 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</si>
  <si>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</si>
  <si>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</si>
  <si>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126,99
67,07</t>
  </si>
  <si>
    <t xml:space="preserve">16.196 Гидравлическое испытание трубопроводов систем отопления, водопровода и горячего водоснабжения диаметром: до 50 мм: ОЗП=15,34; ЭМ=0,72; ЗПМ=15,34; МАТ=7,33
 </t>
  </si>
  <si>
    <t>ФССЦ-301-1224
--------------------
Приказ Минстроя РФ от 30.01.14 №31/пр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</si>
  <si>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</si>
  <si>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МАТ=3,267
 </t>
  </si>
  <si>
    <t xml:space="preserve">                                   Общестроительные работы</t>
  </si>
  <si>
    <t>ФЕР26-01-010-02
--------------------
Приказ Минстроя РФ от 30.01.14 №31/пр</t>
  </si>
  <si>
    <t xml:space="preserve">Изоляция трубопроводов: матами из стеклянного штапельного волокна,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</si>
  <si>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4677,68
211,58</t>
  </si>
  <si>
    <t xml:space="preserve">25.16. Изоляция трубопроводов: матами из стеклянного штапельного волокна: ОЗП=15,34; ЭМ=9,52; ЗПМ=15,34; МАТ=0,81
 </t>
  </si>
  <si>
    <t>ФССЦ-101-1876
--------------------
Приказ Минстроя РФ от 30.01.14 №31/пр</t>
  </si>
  <si>
    <t xml:space="preserve">Сталь листовая оцинкованная толщиной листа 0,8 мм, т
 </t>
  </si>
  <si>
    <t xml:space="preserve">Сталь листовая оцинкованная толщиной листа:0,8 мм; МАТ=2,729
 </t>
  </si>
  <si>
    <t>ФЕР26-01-008-01
--------------------
Приказ Минстроя РФ от 30.01.14 №31/пр</t>
  </si>
  <si>
    <t xml:space="preserve">Изоляция трубопроводов матами и холстами из супертонкого волокна (стеклянного и базальтового), матами звукопоглощающими,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</si>
  <si>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1626,43
1057,3</t>
  </si>
  <si>
    <t xml:space="preserve">25.12. Изоляция трубопроводов матами и холстами из супертонкого волокна (стеклянного и базальтового), матами звукопоглощающими: ОЗП=15,34; ЭМ=9,57; ЗПМ=15,34; МАТ=2,65
 </t>
  </si>
  <si>
    <t>ФССЦ-104-0072
--------------------
Приказ Минстроя РФ от 30.01.14 №31/пр</t>
  </si>
  <si>
    <t xml:space="preserve">Маты без связующего прошивные из супертонкого стекловолокна толщиной 40 мм, м3
 </t>
  </si>
  <si>
    <t xml:space="preserve">Маты без связующего прошивные из супертонкого стекловолокна толщиной 60 мм; МАТ=0,594
 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</si>
  <si>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</si>
  <si>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</si>
  <si>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1785,63
317,76</t>
  </si>
  <si>
    <t xml:space="preserve">25.71 Обертывание поверхности изоляции рулонными материалами насухо с проклейкой швов: ОЗП=15,34; ЭМ=9,5; ЗПМ=15,34; МАТ=7,96
 </t>
  </si>
  <si>
    <t>ФССЦ-101-1794
--------------------
Приказ Минстроя РФ от 30.01.14 №31/пр</t>
  </si>
  <si>
    <t xml:space="preserve">Бризол, 1000 м2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 </t>
  </si>
  <si>
    <t xml:space="preserve">Бризол; МАТ=9,586
 </t>
  </si>
  <si>
    <t>ФССЦ-104-0077
--------------------
Приказ Минстроя РФ от 30.01.14 №31/пр</t>
  </si>
  <si>
    <t xml:space="preserve">Стеклопластик рулонный марки РСТ-А-Л-В, 1000 м2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 </t>
  </si>
  <si>
    <t xml:space="preserve">Стеклопластик рулонный марки:РСТ-А-Л-В; МАТ=1,534
 </t>
  </si>
  <si>
    <t>ФЕР46-03-010-02
--------------------
Приказ Минстроя РФ от 30.01.14 №31/пр</t>
  </si>
  <si>
    <t xml:space="preserve">Пробивка в бетонных стенах и полах толщиной 100 мм отверстий площадью: до 100 см2, 100 отверстий
КОЭФ. К ПОЗИЦИИ:
ОЗП=1,75; ЭМ=1,75; ЗПМ=1,75; ТЗ=1,75; ТЗМ=1,75
НР 84%=110%*(0.9*0.85) от ФОТ
СП 48%=70%*(0.85*0.8) от ФОТ
 </t>
  </si>
  <si>
    <t>2053,71
589,65</t>
  </si>
  <si>
    <t>1464,07
158,27</t>
  </si>
  <si>
    <t xml:space="preserve">45.48 Пробивка отверстий в бетонных стенах, полах и потолках: ОЗП=15,34; ЭМ=7,34; ЗПМ=15,34
 </t>
  </si>
  <si>
    <t>22244,76
5025,67</t>
  </si>
  <si>
    <t>62
15,73</t>
  </si>
  <si>
    <t>128,34
32,56</t>
  </si>
  <si>
    <t>ФЕР46-03-017-01
--------------------
Приказ Минстроя РФ от 30.01.14 №31/пр</t>
  </si>
  <si>
    <t xml:space="preserve">Заделка отверстий, гнезд и борозд: в перекрытиях железобетонных площадью до 0,1 м2, 1 м3 заделки
НР 84%=110%*(0.9*0.85) от ФОТ
СП 48%=70%*(0.85*0.8) от ФОТ
 </t>
  </si>
  <si>
    <t>1743,13
446,24</t>
  </si>
  <si>
    <t xml:space="preserve">45.51 Заделка отверстий, гнезд и борозд: в перекрытиях железобетонных: ОЗП=15,34; ЭМ=9,43; ЗПМ=15,34; МАТ=4,61
 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</si>
  <si>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</si>
  <si>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</si>
  <si>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279,54
65,03</t>
  </si>
  <si>
    <t>11,79
0,13</t>
  </si>
  <si>
    <t xml:space="preserve">13.39. Огрунтовка металлических поверхностей за один раз: грунтовкой ГФ-021: ОЗП=15,34; ЭМ=10,29; ЗПМ=15,34; МАТ=3,42
 </t>
  </si>
  <si>
    <t>209,23
3,31</t>
  </si>
  <si>
    <t>6,11
0,01</t>
  </si>
  <si>
    <t>10,54
0,02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</si>
  <si>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</si>
  <si>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</si>
  <si>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246,08
30,04</t>
  </si>
  <si>
    <t>15,26
0,13</t>
  </si>
  <si>
    <t xml:space="preserve">13.97 Окраска металлических огрунтованных поверхностей: краской БТ-177 серебристой: ОЗП=15,34; ЭМ=10,29; ЗПМ=15,34; МАТ=4,32
 </t>
  </si>
  <si>
    <t>270,91
3,31</t>
  </si>
  <si>
    <t>3,31
0,01</t>
  </si>
  <si>
    <t>5,71
0,02</t>
  </si>
  <si>
    <t>Итого прямые затраты по разделу в текущих ценах</t>
  </si>
  <si>
    <t>46825,10
7966,02</t>
  </si>
  <si>
    <t>1860,46
46,78</t>
  </si>
  <si>
    <t>Накладные расходы</t>
  </si>
  <si>
    <t xml:space="preserve">  В том числе, справочно:</t>
  </si>
  <si>
    <t xml:space="preserve">  63% =  74%*0.85 ФОТ (от 93211,54)  (Поз. 1-4)</t>
  </si>
  <si>
    <t xml:space="preserve">  68% =  80%*0.85 ФОТ (от 1405,76)  (Поз. 20)</t>
  </si>
  <si>
    <t xml:space="preserve">  69% =  90%*(0.9*0.85) ФОТ (от 2522,33)  (Поз. 39-40)</t>
  </si>
  <si>
    <t xml:space="preserve">  77% =  100%*(0.9*0.85) ФОТ (от 32909,58)  (Поз. 29, 31, 34-36)</t>
  </si>
  <si>
    <t xml:space="preserve">  84% =  110%*(0.9*0.85) ФОТ (от 29225,39)  (Поз. 37-38)</t>
  </si>
  <si>
    <t xml:space="preserve">  98% =  128%*(0.9*0.85) ФОТ (от 108052,39)  (Поз. 5-11, 16, 22-24, 26-27)</t>
  </si>
  <si>
    <t>Сметная прибыль</t>
  </si>
  <si>
    <t xml:space="preserve">  40% =  50%*0.8 ФОТ (от 93211,54)  (Поз. 1-4)</t>
  </si>
  <si>
    <t xml:space="preserve">  48% =  60%*0.8 ФОТ (от 1405,76)  (Поз. 20)</t>
  </si>
  <si>
    <t xml:space="preserve">  48% =  70%*(0.85*0.8) ФОТ (от 64657,3)  (Поз. 29, 31, 34-40)</t>
  </si>
  <si>
    <t xml:space="preserve">  56% =  83%*(0.85*0.8) ФОТ (от 108052,39)  (Поз. 5-11, 16, 22-24, 26-27)</t>
  </si>
  <si>
    <t>Итоги по разделу 1 Внутренняя система отопления :</t>
  </si>
  <si>
    <t xml:space="preserve">  Итого Строительные работы</t>
  </si>
  <si>
    <t>1851,46
45,82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</si>
  <si>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</si>
  <si>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</si>
  <si>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</si>
  <si>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</si>
  <si>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</si>
  <si>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</si>
  <si>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</si>
  <si>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</si>
  <si>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Внутренняя система отопления</t>
  </si>
  <si>
    <t xml:space="preserve">                           Раздел 2. Автоматизированный узел управления</t>
  </si>
  <si>
    <t>ФЕРр65-27-3
--------------------
Приказ Минстроя РФ от 30.01.14 №31/пр</t>
  </si>
  <si>
    <t xml:space="preserve">Демонтаж элеваторных узлов номер: 1, 2, 100 шт.
НР 63%=74%*0.85 от ФОТ
СП 40%=50%*0.8 от ФОТ
 </t>
  </si>
  <si>
    <t>8083,86
8083,86</t>
  </si>
  <si>
    <t xml:space="preserve">89.104 Демонтаж элеваторов и элеваторных узлов: ОЗП=15,34
 </t>
  </si>
  <si>
    <t>ФЕР16-02-005-03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</si>
  <si>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</si>
  <si>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6337,99
809,92</t>
  </si>
  <si>
    <t>174,86
3,89</t>
  </si>
  <si>
    <t xml:space="preserve">16.63 Прокладка трубопроводов отопления и водоснабжения из стальных электросварных труб диаметром: 65 мм: ОЗП=15,34; ЭМ=11,07; ЗПМ=15,34; МАТ=4,25
 </t>
  </si>
  <si>
    <t>387,15
11,93</t>
  </si>
  <si>
    <t>82,98
0,29</t>
  </si>
  <si>
    <t>16,6
0,06</t>
  </si>
  <si>
    <t>ФЕР16-02-005-02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</si>
  <si>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</si>
  <si>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4984,71
682,76</t>
  </si>
  <si>
    <t>145,21
3,21</t>
  </si>
  <si>
    <t xml:space="preserve">16.62 Прокладка трубопроводов отопления и водоснабжения из стальных электросварных труб диаметром: 50 мм: ОЗП=15,34; ЭМ=10,92; ЗПМ=15,34; МАТ=4,08
 </t>
  </si>
  <si>
    <t>95,14
2,96</t>
  </si>
  <si>
    <t>69,95
0,24</t>
  </si>
  <si>
    <t>4,2
0,01</t>
  </si>
  <si>
    <t>ФЕР16-02-005-01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</si>
  <si>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до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</si>
  <si>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4029,29
682,76</t>
  </si>
  <si>
    <t xml:space="preserve">16.61 Прокладка трубопроводов отопления и водоснабжения из стальных электросварных труб диаметром: до 40 мм: ОЗП=15,34; ЭМ=10,92; ЗПМ=15,34; МАТ=2,23
 </t>
  </si>
  <si>
    <t>63,43
1,97</t>
  </si>
  <si>
    <t>2,8
0,01</t>
  </si>
  <si>
    <t>ФЕР16-02-002-07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</si>
  <si>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</si>
  <si>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8143,64
644,51</t>
  </si>
  <si>
    <t>163,75
4,73</t>
  </si>
  <si>
    <t xml:space="preserve">16.38 Прокладка трубопроводов водоснабжения из стальных водогазопроводных оцинкованных труб диаметром: 65 мм: ОЗП=15,34; ЭМ=10,08; ЗПМ=15,34; МАТ=6,05
 </t>
  </si>
  <si>
    <t>16,51
0,72</t>
  </si>
  <si>
    <t>70,21
0,35</t>
  </si>
  <si>
    <t>ФЕР16-02-002-05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</si>
  <si>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</si>
  <si>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5480,16
410,1</t>
  </si>
  <si>
    <t>68,46
2,54</t>
  </si>
  <si>
    <t xml:space="preserve">16.36 Прокладка трубопроводов водоснабжения из стальных водогазопроводных оцинкованных труб диаметром: 40 мм: ОЗП=15,34; ЭМ=10,07; ЗПМ=15,34; МАТ=5,97
 </t>
  </si>
  <si>
    <t>41,37
2,34</t>
  </si>
  <si>
    <t>42,63
0,19</t>
  </si>
  <si>
    <t>2,56
0,01</t>
  </si>
  <si>
    <t>ФЕР16-02-002-04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</si>
  <si>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</si>
  <si>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4797,62
410,1</t>
  </si>
  <si>
    <t xml:space="preserve">16.35 Прокладка трубопроводов водоснабжения из стальных водогазопроводных оцинкованных труб диаметром: 32 мм: ОЗП=15,34; ЭМ=10,07; ЗПМ=15,34; МАТ=5,82
 </t>
  </si>
  <si>
    <t>20,68
1,17</t>
  </si>
  <si>
    <t>1,28
0,01</t>
  </si>
  <si>
    <t>ФЕР16-02-002-01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</si>
  <si>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</si>
  <si>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3335,46
410,1</t>
  </si>
  <si>
    <t xml:space="preserve">16.32 Прокладка трубопроводов водоснабжения из стальных водогазопроводных оцинкованных труб диаметром: 15 мм: ОЗП=15,34; ЭМ=10,07; ЗПМ=15,34; МАТ=5,4
 </t>
  </si>
  <si>
    <t>6,89
0,39</t>
  </si>
  <si>
    <t xml:space="preserve">Кран шаровой HLV Optima с внутренней резьбой, латунь, рычаг, Ду40мм, Ру40бар, Тmax150гр.С (629,00/1,18/5,04=105,76), шт
 </t>
  </si>
  <si>
    <t xml:space="preserve">Кран шаровой HLV Optima с внутренней резьбой, латунь, рычаг, Ду32мм, Ру40бар, Тmax150гр.С (414,00/1,18/5,04=69,61), шт
 </t>
  </si>
  <si>
    <t xml:space="preserve">Кран шаровой Itap с внутренней резьбой, латунь,со спускным клапаном, Ду15мм, Ру40бар, Тmax110гр.С (212,00/1,18/5,04=35.65), шт
 </t>
  </si>
  <si>
    <t>ФЕР18-06-002-03
--------------------
Приказ Минстроя РФ от 30.01.14 №31/пр</t>
  </si>
  <si>
    <t xml:space="preserve">Установка грязевиков наружным диаметром патрубков: до 89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</si>
  <si>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1093,4
41,66</t>
  </si>
  <si>
    <t>19,15
0,34</t>
  </si>
  <si>
    <t xml:space="preserve">18.42 Установка грязевиков наружным диаметром патрубков: до 89 мм: ОЗП=15,34; ЭМ=6,68; ЗПМ=15,34; МАТ=5,97
 </t>
  </si>
  <si>
    <t>127,92
5,18</t>
  </si>
  <si>
    <t>4,49
0,03</t>
  </si>
  <si>
    <t>ФЕР18-06-003-10
--------------------
Приказ Минстроя РФ от 30.01.14 №31/пр</t>
  </si>
  <si>
    <t xml:space="preserve">Установка воздухоотводчиков,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</si>
  <si>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111,66
18,16</t>
  </si>
  <si>
    <t>10,43
0,34</t>
  </si>
  <si>
    <t xml:space="preserve">18.53 Установка воздухоотводчиков: ОЗП=15,34; ЭМ=9,71; ЗПМ=15,34; МАТ=3,71
 </t>
  </si>
  <si>
    <t>202,46
10,36</t>
  </si>
  <si>
    <t>1,91
0,03</t>
  </si>
  <si>
    <t>3,82
0,06</t>
  </si>
  <si>
    <t>ФССЦ-301-1489
--------------------
Приказ Минстроя РФ от 30.01.14 №31/пр</t>
  </si>
  <si>
    <t xml:space="preserve">Воздухоотводчик автоматический с наружным резьбовым присоединением Рр=1,0 МПа, Т max = 120 град С, D = 15 мм, шт.
 </t>
  </si>
  <si>
    <t xml:space="preserve">Воздухоотводчик автоматический с наружным резьбовым присоединением Рр=1,0МПа, Тmax=120град С, D=15мм; МАТ=3,799
 </t>
  </si>
  <si>
    <t>Прайс VALTEC</t>
  </si>
  <si>
    <t xml:space="preserve">Воздухоотводчик VALTEC V.502 с отсекающим клапаном, латунь, Ду15мм, Ру10бар, Тм=110гр.С (219,00+58,00)/1,18/5,04= 46,58), шт.
 </t>
  </si>
  <si>
    <t>ФЕР18-07-001-02
--------------------
Приказ Минстроя РФ от 30.01.14 №31/пр</t>
  </si>
  <si>
    <t xml:space="preserve">Установка манометров: с трехходовым краном,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</si>
  <si>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227,05
2,51</t>
  </si>
  <si>
    <t xml:space="preserve">18.77 Установка манометров: ОЗП=15,34; МАТ=1,59
 </t>
  </si>
  <si>
    <t>ФССЦ-301-1465
--------------------
Приказ Минстроя РФ от 30.01.14 №31/пр</t>
  </si>
  <si>
    <t xml:space="preserve">Манометр для неагрессивных сред (класс точности 1.5) с резьбовым присоединением марка МП-3У-16 с трехходовым краном 11П18пкРу16, компл.
 </t>
  </si>
  <si>
    <t xml:space="preserve">Манометр для неагресивных сред (класс точности 1.5) с резбовым присоединением марка МП-3У-16 с трехходовым краном 11П18пкРу16; МАТ=1,586
 </t>
  </si>
  <si>
    <t xml:space="preserve">Манометр технический показывающий, пределы измерения от 0 до 16 кгс/см2 (424,00/1,18/5,04=71,29), шт
 </t>
  </si>
  <si>
    <t xml:space="preserve">Манометр технический показывающий, пределы измерения от 0 до 10 кгс/см2 (424,00/1,18/5,04=71,29), шт
 </t>
  </si>
  <si>
    <t>ФЕР18-07-001-04
--------------------
Приказ Минстроя РФ от 30.01.14 №31/пр</t>
  </si>
  <si>
    <t xml:space="preserve">Установка термометров в оправе прямых и угловых,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</si>
  <si>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339,31
3,35</t>
  </si>
  <si>
    <t xml:space="preserve">18.78 Установка термометров: ОЗП=15,34; МАТ=1,05
 </t>
  </si>
  <si>
    <t>ФЕРм12-10-001-01
--------------------
Приказ Минстроя РФ от 30.01.14 №31/пр</t>
  </si>
  <si>
    <t xml:space="preserve">Бобышки, штуцеры на условное давление: до 10 МПа, 100 шт.
НР 68%=80%*0.85 от ФОТ
СП 48%=60%*0.8 от ФОТ
 </t>
  </si>
  <si>
    <t>2984,46
629,15</t>
  </si>
  <si>
    <t xml:space="preserve">58.144 Закладные устройства приборов: ОЗП=15,34; ЭМ=6,32; ЗПМ=15,34; МАТ=3,87
 </t>
  </si>
  <si>
    <t>ФЕР16-05-001-03
--------------------
Приказ Минстроя РФ от 30.01.14 №31/пр</t>
  </si>
  <si>
    <t xml:space="preserve">Установка вентилей, задвижек, затворов, клапанов обратных, кранов проходных на трубопроводах из стальных труб диаметром: до 100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</si>
  <si>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176,81
30,35</t>
  </si>
  <si>
    <t>11,04
0,34</t>
  </si>
  <si>
    <t xml:space="preserve">16.124 Установка вентилей, задвижек, затворов, клапанов обратных, кранов проходных на трубопроводах из стальных труб диаметром: до 100 мм: ОЗП=15,34; ЭМ=7,51; ЗПМ=15,34; МАТ=5,05
 </t>
  </si>
  <si>
    <t>828,9
51,8</t>
  </si>
  <si>
    <t>3,35
0,03</t>
  </si>
  <si>
    <t>33,5
0,3</t>
  </si>
  <si>
    <t>ФССЦ-507-0986
--------------------
Приказ Минстроя РФ от 30.01.14 №31/пр</t>
  </si>
  <si>
    <t xml:space="preserve">Фланцы стальные плоские приварные из стали ВСт3сп2, ВСт3сп3, давлением 1,0 МПа (10 кгс/см2), диаметром 100 мм, шт.
 </t>
  </si>
  <si>
    <t xml:space="preserve">Фланцы стальные плоские приварные из стали ВСт3сп2, ВСт3сп3; давлением 1.0 МПа (10 кгс/см2), диаметром 100 мм; МАТ=5,59
 </t>
  </si>
  <si>
    <t xml:space="preserve">Шаровой кран JiP-FF фланцевый с рукояткой, стандартным проходом; материал – углеродистая сталь; Тмакс. = 180 °С Ду65 (112,69х49/5,04=1095,60), шт.
 </t>
  </si>
  <si>
    <t xml:space="preserve">Дисковый поворотный затвор REON тип RSV 38, Тmax=120гр.С, Ру=16бар, Ду65мм (1335,00/1,18/5,04=224,48), шт
 </t>
  </si>
  <si>
    <t xml:space="preserve">Обратный клапан REON тип RSV 32, чугунный, межфланцевый, Тmax=100гр.С, Ру=16бар, Ду65мм (1163,00/1,18/5,04=195,55), шт
 </t>
  </si>
  <si>
    <t>ФССЦ-507-1001
--------------------
Приказ Минстроя РФ от 30.01.14 №31/пр</t>
  </si>
  <si>
    <t xml:space="preserve">Фланцы стальные плоские приварные из стали ВСт3сп2, ВСт3сп3, давлением 1,6 МПа (16 кгс/см2), диаметром 65 мм, шт.
 </t>
  </si>
  <si>
    <t xml:space="preserve">Фланцы стальные плоские приварные из стали ВСт3сп2, ВСт3сп3; давлением 1.6 МПа (16 кгс/см2), диаметром 65 мм; МАТ=7,933
 </t>
  </si>
  <si>
    <t xml:space="preserve">Шаровой кран JiP-FF фланцевый с рукояткой, стандартным проходом; материал – углеродистая сталь; Тмакс. = 180 °С Ду50 (104,78х49/5,04=1018,69), шт.
 </t>
  </si>
  <si>
    <t xml:space="preserve">Дисковый поворотный затвор REON тип RSV 38, Тmax=120гр.С, Ру=16бар, Ду50мм (1185,00/1,18/5,04=199,25), шт
 </t>
  </si>
  <si>
    <t xml:space="preserve">Обратный клапан Itap YORK, латунь, ВР-ВР, Тmax=100гр.С, Ру=10бар, Ду40мм (11/2") (613,00/1,18/5,04=103,07), шт
 </t>
  </si>
  <si>
    <t xml:space="preserve">Обратный клапан Itap YORK, латунь, ВР-ВР, Тmax=100гр.С, Ру=10бар, Ду32мм (11/4") (412,00/1,18/5,04=69,28), шт
 </t>
  </si>
  <si>
    <t>ФЕР18-06-007-05
--------------------
Приказ Минстроя РФ от 30.01.14 №31/пр</t>
  </si>
  <si>
    <t xml:space="preserve">Установка фильтров диаметром : 65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</si>
  <si>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9642,8
129,27</t>
  </si>
  <si>
    <t>125,43
1,86</t>
  </si>
  <si>
    <t xml:space="preserve">18.71 Установка фильтров диаметром: 65 мм: ОЗП=15,34; ЭМ=8,22; ЗПМ=15,34; МАТ=2,33
 </t>
  </si>
  <si>
    <t>206,2
5,71</t>
  </si>
  <si>
    <t>13,92
0,14</t>
  </si>
  <si>
    <t>2,78
0,03</t>
  </si>
  <si>
    <t>ФССЦ-301-1217
--------------------
Приказ Минстроя РФ от 30.01.14 №31/пр</t>
  </si>
  <si>
    <t xml:space="preserve">Фильтры для очистки воды в трубопроводах систем отопления диаметром 65 мм, шт.
 </t>
  </si>
  <si>
    <t xml:space="preserve">Фильтры для очистки воды в трубопроводах систем отопления диаметром:65 мм; МАТ=2,33
 </t>
  </si>
  <si>
    <t xml:space="preserve">Фильтр сетчатый чугунный  REON тип RSV 06, Тmax=180гр.С, Ру=16бар, Ду65мм (2597,00/1,18/5,04=436,68), шт
 </t>
  </si>
  <si>
    <t>ФЕР18-06-007-03
--------------------
Приказ Минстроя РФ от 30.01.14 №31/пр</t>
  </si>
  <si>
    <t xml:space="preserve">Установка фильтров диаметром : 40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</si>
  <si>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7109,18
105,98</t>
  </si>
  <si>
    <t>94,06
0,51</t>
  </si>
  <si>
    <t xml:space="preserve">18.69 Установка фильтров диаметром: 40 мм: ОЗП=15,34; ЭМ=8,02; ЗПМ=15,34; МАТ=0,8
 </t>
  </si>
  <si>
    <t>75,44
0,79</t>
  </si>
  <si>
    <t>11,41
0,04</t>
  </si>
  <si>
    <t>ФЕР18-06-007-02
--------------------
Приказ Минстроя РФ от 30.01.14 №31/пр</t>
  </si>
  <si>
    <t xml:space="preserve">Установка фильтров диаметром : 32 мм, 10 фильтров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</si>
  <si>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5774,84
88,42</t>
  </si>
  <si>
    <t>66,53
0,51</t>
  </si>
  <si>
    <t xml:space="preserve">18.68 Установка фильтров диаметром: 32 мм: ОЗП=15,34; ЭМ=7,64; ЗПМ=15,34; МАТ=0,72
 </t>
  </si>
  <si>
    <t>50,83
0,79</t>
  </si>
  <si>
    <t>9,41
0,04</t>
  </si>
  <si>
    <t>ФЕРм08-03-481-20
--------------------
Приказ Минстроя РФ от 30.01.14 №31/пр</t>
  </si>
  <si>
    <t xml:space="preserve">Подготовка электрической машины переменного тока с короткозамкнутым ротором, со щитовыми подшипниками, поступающей в собранном виде, к испытанию, сдаче под наладку и пуску, присоединение к электрической сети, масса: до 0,15 т, 1 шт.
НР 81%=95%*0.85 от ФОТ
СП 52%=65%*0.8 от ФОТ
 </t>
  </si>
  <si>
    <t>32,87
12</t>
  </si>
  <si>
    <t xml:space="preserve">54.196 Электрические машины со щитовыми подшипниками, поступающие в собранном виде: ОЗП=15,34; ЭМ=6,71; ЗПМ=15,34; МАТ=4,51
 </t>
  </si>
  <si>
    <t>ФЕР18-05-001-01
--------------------
Приказ Минстроя РФ от 30.01.14 №31/пр</t>
  </si>
  <si>
    <t xml:space="preserve">Установка насосов центробежных с электродвигателем, масса агрегата: до 0,1 т, 1 насос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</si>
  <si>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2725,86
151,39</t>
  </si>
  <si>
    <t>15,54
0,85</t>
  </si>
  <si>
    <t xml:space="preserve">18.29 Установка насосов центробежных с электродвигателем, масса агрегата: до 0,1 т: ОЗП=15,34; ЭМ=8,4; ЗПМ=15,34; МАТ=4,08
 </t>
  </si>
  <si>
    <t>522,08
52,16</t>
  </si>
  <si>
    <t>16,3
0,06</t>
  </si>
  <si>
    <t>65,2
0,24</t>
  </si>
  <si>
    <t>ФССЦ-301-1494
--------------------
Приказ Минстроя РФ от 30.01.14 №31/пр</t>
  </si>
  <si>
    <t xml:space="preserve">Насосы центробежные 8/18 с электродвигателем 4А 180 А2 массой агрегата до 0,1 т, компл.
 </t>
  </si>
  <si>
    <t xml:space="preserve">Hасосы центобежные 8/18 с электродвигателем 4А180А2 массой агрегата до 0,1т; МАТ=4,041
 </t>
  </si>
  <si>
    <t>ФССЦ-301-2677
--------------------
Приказ Минстроя РФ от 30.01.14 №31/пр</t>
  </si>
  <si>
    <t xml:space="preserve">Насос циркуляционный "GRUNDFOS" серии 100, марки UPS-25х60 (220 В), шт.
 </t>
  </si>
  <si>
    <t xml:space="preserve">Насос циркуляционный 'GRUNDFOS' серии 100, марки UPS-25х60 (220 В); МАТ=3,443
 </t>
  </si>
  <si>
    <t>Прайс "GRUNDFOS"</t>
  </si>
  <si>
    <t xml:space="preserve">Насос циркуляции отопления Magna3 32-120F, G=8,8м3/ч, Н=5,0м (1083,00/1,18х49/3,66=12287,44), шт
 </t>
  </si>
  <si>
    <t xml:space="preserve">Индекс на оборудование ФЕР-2001 2/2014 (жилищное строительство); МАТ=3,66
 </t>
  </si>
  <si>
    <t>ФССЦ-507-0998
--------------------
Приказ Минстроя РФ от 30.01.14 №31/пр</t>
  </si>
  <si>
    <t xml:space="preserve">Фланцы стальные плоские приварные из стали ВСт3сп2, ВСт3сп3, давлением 1,6 МПа (16 кгс/см2), диаметром 32 мм, шт.
 </t>
  </si>
  <si>
    <t xml:space="preserve">Фланцы стальные плоские приварные из стали ВСт3сп2, ВСт3сп3; давлением 1,6 МПа (16 кгс/см2), диаметром 25 мм; МАТ=5,638
 </t>
  </si>
  <si>
    <t xml:space="preserve">Дренажный насос Хозяин НДП-250-5 (1985,00/1,18/3,66=459,62), шт.
 </t>
  </si>
  <si>
    <t>ФЕРм11-02-001-01
--------------------
Пр. Минрегион от  04.08.09 № 321</t>
  </si>
  <si>
    <t xml:space="preserve">Прибор, устанавливаемый на резьбовых соединениях, масса: до 1,5 кг, 1 шт.
НР 68%=80%*0.85 от ФОТ
СП 48%=60%*0.8 от ФОТ
 </t>
  </si>
  <si>
    <t>11,53
10,22</t>
  </si>
  <si>
    <t xml:space="preserve">57.3 Приборы, устанавливаемые на резьбовых соединениях: ОЗП=15,34; МАТ=4,04
 </t>
  </si>
  <si>
    <t xml:space="preserve">Реле давления для воды (прессостат)  KPI 35             (54,69х49/5,04=531,71), шт.
 </t>
  </si>
  <si>
    <t>ФЕР18-02-001-01
--------------------
Приказ Минстроя РФ от 30.01.14 №31/пр</t>
  </si>
  <si>
    <t xml:space="preserve">Установка водоподогревателей скоростных односекционных поверхностью нагрева одной секции: до 4 м2, 1 водоподогреватель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</si>
  <si>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14870,38
102,34</t>
  </si>
  <si>
    <t>78,09
0,51</t>
  </si>
  <si>
    <t xml:space="preserve">18.6. Установка водоподогревателей скоростных односекционных: ОЗП=15,34; ЭМ=8,23; ЗПМ=15,34; МАТ=2,04
 </t>
  </si>
  <si>
    <t>642,66
7,86</t>
  </si>
  <si>
    <t>10,64
0,04</t>
  </si>
  <si>
    <t>ФССЦ-301-1601
--------------------
Приказ Минстроя РФ от 30.01.14 №31/пр</t>
  </si>
  <si>
    <t xml:space="preserve">Водонагреватели односекционные № 09 с поверхностью нагрева одной секции 3,4 м2, шт.
 </t>
  </si>
  <si>
    <t xml:space="preserve">Водонагреватели односекционные N 09 с поверхностью нагрева одной секции 3,4 м2; МАТ=1,292
 </t>
  </si>
  <si>
    <t>Коммерческое предложение "Альфа-Лаваль"</t>
  </si>
  <si>
    <t xml:space="preserve">Теплообменник ГВС TL3-BFG Р=2,0/1,1м, количество пластин 39/37, площадь поверхности теплообмена 2,8кв.м. (1302,6х49/3,66=17439,18), шт.
 </t>
  </si>
  <si>
    <t xml:space="preserve">                                   Монтаж КИПиА</t>
  </si>
  <si>
    <t>ФЕРм11-03-001-01
--------------------
Приказ Минстроя РФ от 30.01.14 №31/пр</t>
  </si>
  <si>
    <t xml:space="preserve">Приборы, устанавливаемые на металлоконструкциях, щитах и пультах, масса: до 5 кг, 1 шт.
НР 68%=80%*0.85 от ФОТ
СП 48%=60%*0.8 от ФОТ
 </t>
  </si>
  <si>
    <t>6,25
5,16</t>
  </si>
  <si>
    <t xml:space="preserve">57.9 Приборы, устанавливаемые на металлоконструкциях, щитах и пультах: ОЗП=15,34; МАТ=2,99
 </t>
  </si>
  <si>
    <t xml:space="preserve">Электронный регулятор температуры с дисплеем и поворотной кнопкой ECL 210 (382,00х49/3,66=5114,21), шт.
 </t>
  </si>
  <si>
    <t xml:space="preserve">Регулирование температуры в контуре отопления и ГВС А266 (190,00х49/3,66=2543,72), шт.
 </t>
  </si>
  <si>
    <t xml:space="preserve">ECL Comfort клеммная панель (52,00х49/3,66=696,17), шт.
 </t>
  </si>
  <si>
    <t>ФЕРм11-02-001-01
--------------------
Приказ Минстроя РФ от 30.01.14 №31/пр</t>
  </si>
  <si>
    <t xml:space="preserve">Датчик температуры наружного воздуха ESMT (46,64х49/3,66=624,42), шт.
 </t>
  </si>
  <si>
    <t xml:space="preserve">Погружной датчик температуры ESMU L=100мм (76,50х49/3,66=1024,18), шт.
 </t>
  </si>
  <si>
    <t>ФЕРм12-12-003-01
--------------------
Приказ Минстроя РФ от 30.01.14 №31/пр</t>
  </si>
  <si>
    <t xml:space="preserve">Арматура фланцевая с электрическим приводом на условное давление до 4 МПа, диаметр условного прохода: 32 мм, 1 шт.
НР 68%=80%*0.85 от ФОТ
СП 48%=60%*0.8 от ФОТ
 </t>
  </si>
  <si>
    <t>46,6
42,33</t>
  </si>
  <si>
    <t xml:space="preserve">58.154 Арматура фланцевая с электрическим приводом на условное давление до 4 МПа: ОЗП=15,34; ЭМ=8,44; ЗПМ=15,34; МАТ=6,23
 </t>
  </si>
  <si>
    <t xml:space="preserve">Регулирующий клапан системы отопления, системы ГВС  VB-2 Ду25, фланцевый, Tmax=150гр.С, Ру16=бар, Ркл=2,5м, kvs=10,0м3/ч  (357,91х49/3,66=4791,69), шт.
 </t>
  </si>
  <si>
    <t>ФССЦ-507-0997
--------------------
Приказ Минстроя РФ от 30.01.14 №31/пр</t>
  </si>
  <si>
    <t xml:space="preserve">Фланцы стальные плоские приварные из стали ВСт3сп2, ВСт3сп3, давлением 1,6 МПа (16 кгс/см2), диаметром 25 мм, шт.
 </t>
  </si>
  <si>
    <t xml:space="preserve">Электропривод AMV 20 (230В) (521,21х49/3,66=6977,95), шт.
 </t>
  </si>
  <si>
    <t xml:space="preserve">Электропривод AMV 30 (230В) (665,06х49/3,66=8903,81), шт.
 </t>
  </si>
  <si>
    <t>ФЕРм11-02-002-03
--------------------
Приказ Минстроя РФ от 30.01.14 №31/пр</t>
  </si>
  <si>
    <t xml:space="preserve">Прибор, устанавливаемый на фланцевых соединениях, масса: до 10 кг, 1 шт.
НР 68%=80%*0.85 от ФОТ
СП 48%=60%*0.8 от ФОТ
 </t>
  </si>
  <si>
    <t>44,47
40,87</t>
  </si>
  <si>
    <t xml:space="preserve">57.4 Приборы, устанавливаемые на фланцевых соединениях: ОЗП=15,34; МАТ=3,6
 </t>
  </si>
  <si>
    <t xml:space="preserve">Регулятор перепада давлений AVP Ду40, для монтажа на подающем трубопроводе, фланцевый, Ру=25бар, Tmax=150гр.С, kvs=20,0м3/ч, Ркл=3,0м (2028,94х49/3,66=27163,40), шт.
 </t>
  </si>
  <si>
    <t>ФССЦ-507-0999
--------------------
Приказ Минстроя РФ от 30.01.14 №31/пр</t>
  </si>
  <si>
    <t xml:space="preserve">Фланцы стальные плоские приварные из стали ВСт3сп2, ВСт3сп3, давлением 1,6 МПа (16 кгс/см2), диаметром 40 мм, шт.
 </t>
  </si>
  <si>
    <t xml:space="preserve">Фланцы стальные плоские приварные из стали ВСт3сп2, ВСт3сп3; давлением 1,6 МПа (16 кгс/см2), диаметром 40 мм; МАТ=7,184
 </t>
  </si>
  <si>
    <t xml:space="preserve">Импульсная трубка AV , материал - медь, L=1500ьь, с резьбовым фитингом R 1/2 (49,87х49/3,66=667,66), шт.
 </t>
  </si>
  <si>
    <t>ФЕРм08-03-573-04
--------------------
Приказ Минстроя РФ от 30.01.14 №31/пр</t>
  </si>
  <si>
    <t xml:space="preserve">Шкаф (пульт) управления навесной, высота, ширина и глубина: до 600х600х350 мм, 1 шт.
НР 81%=95%*0.85 от ФОТ
СП 52%=65%*0.8 от ФОТ
 </t>
  </si>
  <si>
    <t>68,25
23,51</t>
  </si>
  <si>
    <t>41,74
3,16</t>
  </si>
  <si>
    <t xml:space="preserve">54.248 Пульты и шкафы управления: ОЗП=15,34; ЭМ=7,56; ЗПМ=15,34; МАТ=4,36
 </t>
  </si>
  <si>
    <t>315,55
48,47</t>
  </si>
  <si>
    <t>2,37
0,29</t>
  </si>
  <si>
    <t>Коммерческое предложение №57 ООО "СпецСтройСнаб"</t>
  </si>
  <si>
    <t xml:space="preserve">Шкаф управления индивидуальной сборки 400х600 (17110,00/1,18/3,66=3961,75), шт.
 </t>
  </si>
  <si>
    <t xml:space="preserve">                                   Теплосчетчик ТСК-7, комплектно:</t>
  </si>
  <si>
    <t xml:space="preserve">Приборы, устанавливаемые на металлоконструкциях, щитах и пультах, масса: до 5 кг (Тепловычислитель), 1 шт.
НР 68%=80%*0.85 от ФОТ
СП 48%=60%*0.8 от ФОТ
 </t>
  </si>
  <si>
    <t>ФЕРм11-02-022-03
--------------------
Приказ Минстроя РФ от 30.01.14 №31/пр</t>
  </si>
  <si>
    <t xml:space="preserve">Ротаметр, счетчик, преобразователь, устанавливаемые на фланцевых соединениях, диаметр условного прохода: до 32 мм (Расходомер ПРЭМ), 1 шт.
НР 68%=80%*0.85 от ФОТ
СП 48%=60%*0.8 от ФОТ
 </t>
  </si>
  <si>
    <t>17,01
9</t>
  </si>
  <si>
    <t xml:space="preserve">57.6 Приборы, показывающие первичные (проточные) преобразователи, монтируемые на технологическом трубопроводе: ОЗП=15,34; ЭМ=8,92; ЗПМ=15,34; МАТ=5,8
 </t>
  </si>
  <si>
    <t xml:space="preserve">Прибор, устанавливаемый на резьбовых соединениях, масса: до 1,5 кг (КТСП-Н, ПДТВХ-1), 1 шт.
НР 68%=80%*0.85 от ФОТ
СП 48%=60%*0.8 от ФОТ
 </t>
  </si>
  <si>
    <t xml:space="preserve">Бобышки, штуцеры на условное давление: до 10 МПа (защитные гильзы), 100 шт.
НР 68%=80%*0.85 от ФОТ
СП 48%=60%*0.8 от ФОТ
 </t>
  </si>
  <si>
    <t>ФССЦ-108-0081
--------------------
Приказ Минстроя РФ от 30.01.14 №31/пр</t>
  </si>
  <si>
    <t xml:space="preserve">Бобышки скошенные, шт.
 </t>
  </si>
  <si>
    <t xml:space="preserve">Бобышки скошенные; МАТ=3,692
 </t>
  </si>
  <si>
    <t>Коммерческое предложение ООО "СпецСтройСнаб"</t>
  </si>
  <si>
    <t xml:space="preserve">Теплосчетчик в комплекте: тепловычислитель ВКТ-7-04, расходомер ПРЭМ Ду32 - 2шт., платиновый преобразователь КТСП-Н - 2шт., защитные гильзы для КТСП-Н - 2шт., преобразователь давления ПДТВХ-1 - 2шт., блок питания - 5шт. (54976,20/1,18/3,66=12729,51), шт.
 </t>
  </si>
  <si>
    <t xml:space="preserve">Петлевая трубка Ду15 (403,00/1,18/5,04=67,76), шт.
 </t>
  </si>
  <si>
    <t xml:space="preserve">Шкаф размещения прибора учета индивидуальной сборки 400х500 (5310,00/1,18/3,66=1229,51), шт.
 </t>
  </si>
  <si>
    <t>9,95
0,16</t>
  </si>
  <si>
    <t>ФЕР13-03-004-23
--------------------
И8-Пр. Минрегиона от 29.06.12 №262</t>
  </si>
  <si>
    <t xml:space="preserve">Окраска металлических огрунтованных поверхностей: краской БТ-177 серебристой, 100 м2 окрашиваемой поверхности
КОЭФ. К ПОЗИЦИИ:
Количество окрасок 2 ОЗП=2; ЭМ=2; ЗПМ=2; МАТ=2 к расх.; ТЗ=2; ТЗМ=2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</si>
  <si>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485,19
56,16</t>
  </si>
  <si>
    <t>27,47
0,23</t>
  </si>
  <si>
    <t>23,18
0,28</t>
  </si>
  <si>
    <t>6,19
0,02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</si>
  <si>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</si>
  <si>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</si>
  <si>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1603,97
211,58</t>
  </si>
  <si>
    <t xml:space="preserve">25.13. Изоляция трубопроводов: матами минераловатными марок 75, 100, плитами минераловатными на синтетическом связующем марки 75: ОЗП=15,34; ЭМ=9,55; ЗПМ=15,34; МАТ=3,1
 </t>
  </si>
  <si>
    <t>ФССЦ-104-0009
--------------------
Приказ Минстроя РФ от 30.01.14 №31/пр</t>
  </si>
  <si>
    <t xml:space="preserve">Маты прошивные из минеральной ваты без обкладок М-100, толщина 60 мм, м3
 </t>
  </si>
  <si>
    <t xml:space="preserve">Маты прошивные из минеральной ваты:без обкладок М-100, толщина 60 мм; МАТ=3,36
 </t>
  </si>
  <si>
    <t>ФССЦ-506-0878
--------------------
Приказ Минстроя РФ от 30.01.14 №31/пр</t>
  </si>
  <si>
    <t xml:space="preserve">Листы алюминиевые марки АД1Н, толщиной 1 мм, кг
 </t>
  </si>
  <si>
    <t xml:space="preserve">Листы алюминиевые марки АД1Н, толщиной 1 мм; МАТ=3,242
 </t>
  </si>
  <si>
    <t xml:space="preserve">Изоляция URSA  GEO М-11Ф 12500-1200-50 мм (161,00/1,18/5,04=27,07), м2
 </t>
  </si>
  <si>
    <t xml:space="preserve">                                   Электромонтажные работы</t>
  </si>
  <si>
    <t>ФЕРм08-02-413-01
--------------------
Приказ Минстроя РФ от 30.01.14 №31/пр</t>
  </si>
  <si>
    <t xml:space="preserve">Провод, количество проводов в резинобитумной трубке: до 2, сечение провода до 6 мм2, 100 м трубок
НР 81%=95%*0.85 от ФОТ
СП 52%=65%*0.8 от ФОТ
 </t>
  </si>
  <si>
    <t>256,35
151,9</t>
  </si>
  <si>
    <t>39,93
2,43</t>
  </si>
  <si>
    <t xml:space="preserve">54.183 Провод в резинобитумных трубках: ОЗП=15,34; ЭМ=8,88; ЗПМ=15,34; МАТ=4,34
 </t>
  </si>
  <si>
    <t>234,02
24,6</t>
  </si>
  <si>
    <t>16,16
0,18</t>
  </si>
  <si>
    <t>10,67
0,12</t>
  </si>
  <si>
    <t>ФССЦ-507-3484
--------------------
Приказ Минстроя РФ от 30.01.14 №31/пр</t>
  </si>
  <si>
    <t xml:space="preserve">Трубы поливинилхлоридные (ПВХ) диаметром 16 мм, м
 </t>
  </si>
  <si>
    <t xml:space="preserve">Трубы поливинилхлоридные (ПВХ) диаметром 16 мм; МАТ=2,137
 </t>
  </si>
  <si>
    <t>ФЕРм08-02-390-02
--------------------
Приказ Минстроя РФ от 30.01.14 №31/пр</t>
  </si>
  <si>
    <t xml:space="preserve">Короба пластмассовые: шириной до 63 мм, 100 м
НР 81%=95%*0.85 от ФОТ
СП 52%=65%*0.8 от ФОТ
 </t>
  </si>
  <si>
    <t>280,08
174,89</t>
  </si>
  <si>
    <t>35,26
0,14</t>
  </si>
  <si>
    <t xml:space="preserve">54.162 Короба пластмассовые: ОЗП=15,34; ЭМ=7,34; ЗПМ=15,34; МАТ=2,29
 </t>
  </si>
  <si>
    <t>20,7
0,17</t>
  </si>
  <si>
    <t>18,39
0,01</t>
  </si>
  <si>
    <t>ФССЦ-509-1836
--------------------
Приказ Минстроя РФ от 30.01.14 №31/пр</t>
  </si>
  <si>
    <t xml:space="preserve">Кабель-канал (короб) "Электропласт" 60x40 мм, м
 </t>
  </si>
  <si>
    <t xml:space="preserve">Кабель-канал (короб) 'Электропласт' 60x40 мм; МАТ=9,495
 </t>
  </si>
  <si>
    <t>ФЕРм08-02-399-01
--------------------
Приказ Минстроя РФ от 30.01.14 №31/пр</t>
  </si>
  <si>
    <t xml:space="preserve">Провод в коробах, сечением: до 6 мм2, 100 м
НР 81%=95%*0.85 от ФОТ
СП 52%=65%*0.8 от ФОТ
 </t>
  </si>
  <si>
    <t>41,55
26,51</t>
  </si>
  <si>
    <t>2,22
0,14</t>
  </si>
  <si>
    <t xml:space="preserve">54.169 Провода в коробах: ОЗП=15,34; ЭМ=8,87; ЗПМ=15,34; МАТ=3,88
 </t>
  </si>
  <si>
    <t>29,14
3,18</t>
  </si>
  <si>
    <t>2,82
0,01</t>
  </si>
  <si>
    <t>4,17
0,01</t>
  </si>
  <si>
    <t>ФЕРм08-02-403-03
--------------------
Приказ Минстроя РФ от 30.01.14 №31/пр</t>
  </si>
  <si>
    <t xml:space="preserve">Провод групповой осветительных сетей в защитной оболочке или кабель двух-трехжильный: под штукатурку по стенам или в бороздах, 100 м
НР 81%=95%*0.85 от ФОТ
СП 52%=65%*0.8 от ФОТ
 </t>
  </si>
  <si>
    <t>200,62
155,1</t>
  </si>
  <si>
    <t>4,44
0,27</t>
  </si>
  <si>
    <t xml:space="preserve">54.173 Провода групповых осветительных сетей: ОЗП=15,34; ЭМ=8,84; ЗПМ=15,34; МАТ=3,25
 </t>
  </si>
  <si>
    <t>4,71
0,5</t>
  </si>
  <si>
    <t>16,5
0,02</t>
  </si>
  <si>
    <t>ФССЦ-501-8482
--------------------
Приказ Минстроя РФ от 30.01.14 №31/пр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</si>
  <si>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мм2, 1000 м
 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</si>
  <si>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мм2; МАТ=4,083
 </t>
  </si>
  <si>
    <t>ФССЦ-501-8483
--------------------
Приказ Минстроя РФ от 30.01.14 №31/пр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</si>
  <si>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мм2, 1000 м
 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</si>
  <si>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мм2; МАТ=4,259
 </t>
  </si>
  <si>
    <t>ФССЦ-501-8491
--------------------
Приказ Минстроя РФ от 30.01.14 №31/пр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</si>
  <si>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- 4 и сечением 1,5 мм2, 1000 м
 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</si>
  <si>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- 4 и сечением 1,5 мм2; МАТ=4,003
 </t>
  </si>
  <si>
    <t>ФССЦ-501-1855
--------------------
Приказ Минстроя РФ от 30.01.14 №31/пр</t>
  </si>
  <si>
    <t xml:space="preserve">Кабели для систем сигнализации с однопроволочными медными жилами, изоляцией из полиэтилена, оболочкой из белого ПВХ пластиката, марки КСПВ 4x0,50, 1000 м
 </t>
  </si>
  <si>
    <t xml:space="preserve">Кабели для систем сигнализации с однопроволочными медными жилами, изоляцией из полиэтилена, оболочкой из белого ПВХ пластиката, марки КСПВ 4x0,50; МАТ=3,035
 </t>
  </si>
  <si>
    <t>Прайс "ЭТМ"</t>
  </si>
  <si>
    <t xml:space="preserve">Кабель МКЭШ 5х0,5 (38,10/1,18/5,04=6,41), м
 </t>
  </si>
  <si>
    <t xml:space="preserve">Провод ПВС 2х0,75 (14,10/1,18/5,04=2,37), м
 </t>
  </si>
  <si>
    <t>ФЕРм11-08-001-01
--------------------
Приказ Минстроя РФ от 30.01.14 №31/пр</t>
  </si>
  <si>
    <t xml:space="preserve">Присоединение к приборам электрических проводок под винт: с оконцеванием наконечником, 100 концов жил
НР 68%=80%*0.85 от ФОТ
СП 48%=60%*0.8 от ФОТ
 </t>
  </si>
  <si>
    <t>158,67
113,68</t>
  </si>
  <si>
    <t xml:space="preserve">57.34 Присоединение к приборам электрических проводок: ОЗП=15,34; МАТ=3,79
 </t>
  </si>
  <si>
    <t xml:space="preserve">                                   Пусконаладочные работы</t>
  </si>
  <si>
    <t>ФЕРп02-01-001-01
--------------------
Приказ Минстроя РФ от 30.01.14 №31/пр</t>
  </si>
  <si>
    <t xml:space="preserve">Автоматизированная система управления I категории технической сложности с количеством каналов (Кобщ): 2, 1 система
КОЭФ. К ПОЗИЦИИ:
ПЗ=1,5 (ОЗП=1,5; ЭМ=1,5 к расх.; ЗПМ=1,5; МАТ=1,5 к расх.; ТЗ=1,5; ТЗМ=1,5)
НР 55%=65%*0.85 от ФОТ
СП 32%=40%*0.8 от ФОТ
 </t>
  </si>
  <si>
    <t>285,02
285,02</t>
  </si>
  <si>
    <t xml:space="preserve">Таблица 7 п.1.2 Индекс на пусконаладочные работы: ОЗП=15,34
 </t>
  </si>
  <si>
    <t>ФЕРп02-01-001-02
--------------------
Приказ Минстроя РФ от 30.01.14 №31/пр</t>
  </si>
  <si>
    <t xml:space="preserve">Автоматизированная система управления I категории технической сложности с количеством каналов (Кобщ): за каждый канал свыше 2 до 9 добавлять к расценке 02-01-001-01, 1 канал
КОЭФ. К ПОЗИЦИИ:
ПЗ=1,5 (ОЗП=1,5; ЭМ=1,5 к расх.; ЗПМ=1,5; МАТ=1,5 к расх.; ТЗ=1,5; ТЗМ=1,5)
НР 55%=65%*0.85 от ФОТ
СП 32%=40%*0.8 от ФОТ
 </t>
  </si>
  <si>
    <t>137,19
137,19</t>
  </si>
  <si>
    <t>ФЕРп02-01-002-01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</si>
  <si>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2, 1 система
КОЭФ. К ПОЗИЦИИ:
ПЗ=2,12 (ОЗП=2,12; ЭМ=2,12 к расх.; ЗПМ=2,12; МАТ=2,12 к расх.; ТЗ=2,12; ТЗМ=2,12)
НР 55%=65%*0.85 от ФОТ
СП 32%=40%*0.8 от ФОТ
 </t>
  </si>
  <si>
    <t>552,13
552,13</t>
  </si>
  <si>
    <t>ФЕРп02-01-002-02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</si>
  <si>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за каждый канал свыше 2 до 9 добавлять к расценке 02-01-002-01, 1 канал
КОЭФ. К ПОЗИЦИИ:
ПЗ=2,12 (ОЗП=2,12; ЭМ=2,12 к расх.; ЗПМ=2,12; МАТ=2,12 к расх.; ТЗ=2,12; ТЗМ=2,12)
НР 55%=65%*0.85 от ФОТ
СП 32%=40%*0.8 от ФОТ
 </t>
  </si>
  <si>
    <t>265,72
265,72</t>
  </si>
  <si>
    <t>5239,46
281,96</t>
  </si>
  <si>
    <t>442,26
1,51</t>
  </si>
  <si>
    <t xml:space="preserve">  55% =  65%*0.85 ФОТ (от 41640,61)  (Поз. 146-149)</t>
  </si>
  <si>
    <t xml:space="preserve">  63% =  74%*0.85 ФОТ (от 1240,06)  (Поз. 41)</t>
  </si>
  <si>
    <t xml:space="preserve">  68% =  80%*0.85 ФОТ (от 5626,73)  (Поз. 66, 93, 98, 102, 105, 110, 116-117, 119-120, 145)</t>
  </si>
  <si>
    <t xml:space="preserve">  69% =  90%*(0.9*0.85) ФОТ (от 152,88)  (Поз. 126-127)</t>
  </si>
  <si>
    <t xml:space="preserve">  81% =  95%*0.85 ФОТ (от 4038,8)  (Поз. 84, 114, 124, 133, 135, 137-138)</t>
  </si>
  <si>
    <t xml:space="preserve">  77% =  100%*(0.9*0.85) ФОТ (от 2596,47)  (Поз. 128)</t>
  </si>
  <si>
    <t xml:space="preserve">  98% =  128%*(0.9*0.85) ФОТ (от 23868,2)  (Поз. 42-50, 57-58, 61, 65, 67, 73, 78, 82-83, 85, 95)</t>
  </si>
  <si>
    <t xml:space="preserve">  32% =  40%*0.8 ФОТ (от 41640,61)  (Поз. 146-149)</t>
  </si>
  <si>
    <t xml:space="preserve">  40% =  50%*0.8 ФОТ (от 1240,06)  (Поз. 41)</t>
  </si>
  <si>
    <t xml:space="preserve">  48% =  60%*0.8 ФОТ (от 5626,73)  (Поз. 66, 93, 98, 102, 105, 110, 116-117, 119-120, 145)</t>
  </si>
  <si>
    <t xml:space="preserve">  52% =  65%*0.8 ФОТ (от 4038,8)  (Поз. 84, 114, 124, 133, 135, 137-138)</t>
  </si>
  <si>
    <t xml:space="preserve">  48% =  70%*(0.85*0.8) ФОТ (от 2749,35)  (Поз. 126-128)</t>
  </si>
  <si>
    <t xml:space="preserve">  56% =  83%*(0.85*0.8) ФОТ (от 23868,2)  (Поз. 42-50, 57-58, 61, 65, 67, 73, 78, 82-83, 85, 95)</t>
  </si>
  <si>
    <t>Итоги по разделу 2 Автоматизированный узел управления :</t>
  </si>
  <si>
    <t>192,03
0,8</t>
  </si>
  <si>
    <t>64,3
0,71</t>
  </si>
  <si>
    <t xml:space="preserve">  Итого Оборудование</t>
  </si>
  <si>
    <t xml:space="preserve">  Итого Прочие затраты</t>
  </si>
  <si>
    <t xml:space="preserve">      Оборудование</t>
  </si>
  <si>
    <t xml:space="preserve">  Итого по разделу 2 Автоматизированный узел управления</t>
  </si>
  <si>
    <t xml:space="preserve">                           Раздел 3. Вывоз мусора</t>
  </si>
  <si>
    <t>ФССЦпг01-01-01-041
--------------------
Приказ Минстроя РФ от 30.01.14 №31/пр</t>
  </si>
  <si>
    <t xml:space="preserve">Погрузочные работы при автомобильных перевозках: мусора строительного с погрузкой вручную, 1 т груза
НР 0% от ФОТ
СП 0% от ФОТ
 </t>
  </si>
  <si>
    <t>42,98
42,98</t>
  </si>
  <si>
    <t xml:space="preserve">Погрузка: Мусора строительного вручную: ОЗП=15,34; ЭМ=9,62; ЗПМ=15,34; МАТ=0
 </t>
  </si>
  <si>
    <t>ФССЦпг03-21-01-005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</si>
  <si>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5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</si>
  <si>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25 км.: I класс груза; ЭМ=8,12
 </t>
  </si>
  <si>
    <t>Итоги по разделу 3 Вывоз мусора :</t>
  </si>
  <si>
    <t xml:space="preserve">  Перевозка автотранспортом</t>
  </si>
  <si>
    <t xml:space="preserve">  Перевозка грузов автотранспортом</t>
  </si>
  <si>
    <t xml:space="preserve">  Итого по разделу 3 Вывоз мусора</t>
  </si>
  <si>
    <t>Итого прямые затраты по смете в текущих ценах</t>
  </si>
  <si>
    <t>52716,40
8247,98</t>
  </si>
  <si>
    <t>2302,72
48,29</t>
  </si>
  <si>
    <t xml:space="preserve">  63% =  74%*0.85 ФОТ (от 94451,6)  (Поз. 1-4, 41)</t>
  </si>
  <si>
    <t xml:space="preserve">  68% =  80%*0.85 ФОТ (от 7032,49)  (Поз. 20, 66, 93, 98, 102, 105, 110, 116-117, 119-120, 145)</t>
  </si>
  <si>
    <t xml:space="preserve">  69% =  90%*(0.9*0.85) ФОТ (от 2675,21)  (Поз. 39-40, 126-127)</t>
  </si>
  <si>
    <t xml:space="preserve">  77% =  100%*(0.9*0.85) ФОТ (от 35506,05)  (Поз. 29, 31, 34-36, 128)</t>
  </si>
  <si>
    <t xml:space="preserve">  98% =  128%*(0.9*0.85) ФОТ (от 131920,59)  (Поз. 5-11, 16, 22-24, 26-27, 42-50, 57-58, 61, 65, 67, 73, 78, 82-83, 85, 95)</t>
  </si>
  <si>
    <t xml:space="preserve">  40% =  50%*0.8 ФОТ (от 94451,6)  (Поз. 1-4, 41)</t>
  </si>
  <si>
    <t xml:space="preserve">  48% =  60%*0.8 ФОТ (от 7032,49)  (Поз. 20, 66, 93, 98, 102, 105, 110, 116-117, 119-120, 145)</t>
  </si>
  <si>
    <t xml:space="preserve">  48% =  70%*(0.85*0.8) ФОТ (от 67406,65)  (Поз. 29, 31, 34-36, 128, 37-40, 126-127)</t>
  </si>
  <si>
    <t xml:space="preserve">  56% =  83%*(0.85*0.8) ФОТ (от 131920,59)  (Поз. 5-11, 16, 22-24, 26-27, 42-50, 57-58, 61, 65, 67, 73, 78, 82-83, 85, 95)</t>
  </si>
  <si>
    <t>Итоги по смете:</t>
  </si>
  <si>
    <t>2043,49
46,62</t>
  </si>
  <si>
    <t>73,3
1,67</t>
  </si>
  <si>
    <t xml:space="preserve">  НДС 18%</t>
  </si>
  <si>
    <t xml:space="preserve">  ВСЕГО по смете</t>
  </si>
  <si>
    <t>Составлен(а) в текущих ценах по состоянию на 2 кв. 2014 года</t>
  </si>
  <si>
    <t>Жилой дом по адресу: г.Томск, ул. Елизаровых, 35</t>
  </si>
  <si>
    <r>
      <t xml:space="preserve">на    </t>
    </r>
    <r>
      <rPr>
        <b/>
        <sz val="9"/>
        <rFont val="Tahoma"/>
        <family val="2"/>
        <charset val="204"/>
      </rPr>
      <t>Капитальный ремонт системы отопления и автоматизированного узла управления</t>
    </r>
  </si>
  <si>
    <t>Справочно.  Возвратные суммы от сдачи металлолома:                                                                                                                                                      2,48826т (трубы)х0,56 х4500,00 + 8,6833т (чугунные радиаторы) х6000,00=58370,22 руб.</t>
  </si>
  <si>
    <t>Основание:  проект</t>
  </si>
  <si>
    <t>Заказчик:</t>
  </si>
  <si>
    <t>Подрядчик: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</si>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</sst>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1">
      <alignment horizontal="center"/>
    </xf>
    <xf numFmtId="0" fontId="3" fillId="0" borderId="1">
      <alignment horizontal="center"/>
    </xf>
    <xf numFmtId="0" fontId="3" fillId="0" borderId="0">
      <alignment horizontal="right" vertical="top" wrapText="1"/>
    </xf>
    <xf numFmtId="0" fontId="3" fillId="0" borderId="1">
      <alignment horizontal="center" wrapText="1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0">
      <alignment horizontal="center" vertical="top" wrapText="1"/>
    </xf>
    <xf numFmtId="0" fontId="3" fillId="0" borderId="0" applyProtection="0">
      <alignment horizontal="right" indent="1"/>
    </xf>
    <xf numFmtId="0" fontId="3" fillId="0" borderId="0">
      <alignment horizontal="center"/>
    </xf>
    <xf numFmtId="0" fontId="3" fillId="0" borderId="0">
      <alignment horizontal="left" vertical="top"/>
    </xf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/>
    <xf numFmtId="0" fontId="3" fillId="0" borderId="0" xfId="4" applyFont="1" applyBorder="1" applyAlignment="1">
      <alignment horizontal="center"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0" fillId="0" borderId="0" xfId="9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3" fillId="0" borderId="0" xfId="9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7" xfId="9" applyFont="1" applyBorder="1" applyAlignment="1">
      <alignment horizontal="left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11" fillId="0" borderId="0" xfId="9" quotePrefix="1" applyFont="1" applyAlignment="1">
      <alignment horizontal="left"/>
    </xf>
    <xf numFmtId="0" fontId="11" fillId="0" borderId="0" xfId="1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/>
    <xf numFmtId="0" fontId="11" fillId="0" borderId="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quotePrefix="1" applyFont="1" applyBorder="1" applyAlignment="1">
      <alignment horizontal="right" vertical="top"/>
    </xf>
    <xf numFmtId="0" fontId="11" fillId="0" borderId="0" xfId="0" quotePrefix="1" applyFont="1" applyFill="1" applyBorder="1" applyAlignment="1">
      <alignment horizontal="left" vertical="top"/>
    </xf>
    <xf numFmtId="0" fontId="14" fillId="0" borderId="0" xfId="0" applyFont="1" applyBorder="1" applyAlignment="1">
      <alignment horizontal="right" vertical="top" wrapText="1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/>
    <xf numFmtId="0" fontId="10" fillId="0" borderId="0" xfId="11" applyFont="1" applyAlignment="1">
      <alignment horizontal="left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right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NumberFormat="1" applyFont="1" applyBorder="1" applyAlignment="1">
      <alignment horizontal="right" vertical="top" wrapText="1"/>
    </xf>
    <xf numFmtId="0" fontId="10" fillId="0" borderId="1" xfId="3" applyFont="1" applyBorder="1" applyAlignment="1">
      <alignment horizontal="right" vertical="top" wrapText="1"/>
    </xf>
    <xf numFmtId="0" fontId="13" fillId="0" borderId="7" xfId="9" applyFont="1" applyBorder="1" applyAlignment="1">
      <alignment horizontal="center"/>
    </xf>
    <xf numFmtId="0" fontId="12" fillId="0" borderId="1" xfId="3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0" xfId="9" quotePrefix="1" applyFont="1" applyAlignment="1">
      <alignment horizontal="left"/>
    </xf>
    <xf numFmtId="0" fontId="11" fillId="0" borderId="0" xfId="9" applyFont="1" applyAlignment="1">
      <alignment horizontal="left"/>
    </xf>
    <xf numFmtId="0" fontId="11" fillId="0" borderId="7" xfId="9" applyFont="1" applyBorder="1">
      <alignment horizontal="right" indent="1"/>
    </xf>
    <xf numFmtId="0" fontId="11" fillId="0" borderId="8" xfId="9" applyFont="1" applyBorder="1">
      <alignment horizontal="right" indent="1"/>
    </xf>
    <xf numFmtId="0" fontId="10" fillId="0" borderId="9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3" xfId="0" applyFont="1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3" applyFont="1" applyBorder="1" applyAlignment="1">
      <alignment horizontal="left" vertical="top" wrapText="1"/>
    </xf>
    <xf numFmtId="0" fontId="13" fillId="0" borderId="1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6" fillId="0" borderId="14" xfId="3" applyFont="1" applyBorder="1" applyAlignment="1">
      <alignment horizontal="left" vertical="top" wrapText="1"/>
    </xf>
    <xf numFmtId="0" fontId="16" fillId="0" borderId="8" xfId="3" applyFont="1" applyBorder="1" applyAlignment="1">
      <alignment horizontal="left" vertical="top" wrapText="1"/>
    </xf>
    <xf numFmtId="0" fontId="16" fillId="0" borderId="15" xfId="3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293"/>
  <sheetViews>
    <sheetView showGridLines="0" tabSelected="1" view="pageBreakPreview" topLeftCell="A175" zoomScale="60" zoomScaleNormal="104" workbookViewId="0">
      <selection activeCell="K307" sqref="K307"/>
    </sheetView>
  </sheetViews>
  <sheetFormatPr defaultRowHeight="12.75" x14ac:dyDescent="0.2"/>
  <cols>
    <col min="1" max="1" width="4.140625" style="3" customWidth="1"/>
    <col min="2" max="2" width="16.42578125" style="3" customWidth="1"/>
    <col min="3" max="3" width="30.85546875" style="3" customWidth="1"/>
    <col min="4" max="4" width="8.5703125" style="3" customWidth="1"/>
    <col min="5" max="5" width="10.5703125" style="4" customWidth="1"/>
    <col min="6" max="6" width="10.42578125" style="4" customWidth="1"/>
    <col min="7" max="7" width="9.85546875" style="4" customWidth="1"/>
    <col min="8" max="8" width="20.28515625" style="4" customWidth="1"/>
    <col min="9" max="9" width="11" style="4" customWidth="1"/>
    <col min="10" max="10" width="8.140625" style="4" customWidth="1"/>
    <col min="11" max="11" width="10.140625" style="4" customWidth="1"/>
    <col min="12" max="12" width="9.85546875" style="4" customWidth="1"/>
    <col min="13" max="13" width="7.42578125" style="4" customWidth="1"/>
    <col min="14" max="14" width="6.85546875" style="2" customWidth="1"/>
    <col min="15" max="15" width="9.140625" style="2"/>
    <col min="16" max="16" width="19.7109375" style="2" customWidth="1"/>
    <col min="17" max="16384" width="9.140625" style="2"/>
  </cols>
  <sheetData>
    <row r="1" spans="1:14" s="1" customFormat="1" x14ac:dyDescent="0.2">
      <c r="A1" s="14"/>
      <c r="B1" s="15"/>
      <c r="C1" s="14"/>
      <c r="D1" s="16"/>
      <c r="E1" s="17"/>
      <c r="F1" s="60" t="s">
        <v>621</v>
      </c>
      <c r="G1" s="17"/>
      <c r="H1" s="18"/>
      <c r="I1" s="14"/>
      <c r="J1" s="14"/>
      <c r="K1" s="14"/>
      <c r="L1" s="14"/>
      <c r="M1" s="14"/>
      <c r="N1" s="19"/>
    </row>
    <row r="2" spans="1:14" s="1" customFormat="1" x14ac:dyDescent="0.2">
      <c r="A2" s="20" t="s">
        <v>4</v>
      </c>
      <c r="B2" s="15"/>
      <c r="C2" s="19"/>
      <c r="D2" s="18"/>
      <c r="E2" s="16"/>
      <c r="F2" s="21" t="s">
        <v>0</v>
      </c>
      <c r="G2" s="21"/>
      <c r="H2" s="19"/>
      <c r="I2" s="22"/>
      <c r="J2" s="20"/>
      <c r="K2" s="20" t="s">
        <v>5</v>
      </c>
      <c r="L2" s="20"/>
      <c r="M2" s="14"/>
      <c r="N2" s="19"/>
    </row>
    <row r="3" spans="1:14" s="1" customFormat="1" x14ac:dyDescent="0.2">
      <c r="A3" s="20" t="s">
        <v>626</v>
      </c>
      <c r="B3" s="19"/>
      <c r="C3" s="19"/>
      <c r="D3" s="19"/>
      <c r="E3" s="14"/>
      <c r="F3" s="14"/>
      <c r="G3" s="14"/>
      <c r="H3" s="14"/>
      <c r="I3" s="14"/>
      <c r="J3" s="20"/>
      <c r="K3" s="20" t="s">
        <v>625</v>
      </c>
      <c r="L3" s="20"/>
      <c r="M3" s="14"/>
      <c r="N3" s="19"/>
    </row>
    <row r="4" spans="1:14" s="1" customFormat="1" x14ac:dyDescent="0.2">
      <c r="A4" s="26"/>
      <c r="B4" s="26"/>
      <c r="C4" s="14"/>
      <c r="D4" s="19"/>
      <c r="E4" s="16"/>
      <c r="F4" s="23" t="s">
        <v>23</v>
      </c>
      <c r="G4" s="14"/>
      <c r="H4" s="19"/>
      <c r="I4" s="14"/>
      <c r="J4" s="14"/>
      <c r="K4" s="26"/>
      <c r="L4" s="26"/>
      <c r="M4" s="26"/>
      <c r="N4" s="19"/>
    </row>
    <row r="5" spans="1:14" s="1" customFormat="1" x14ac:dyDescent="0.2">
      <c r="A5" s="14"/>
      <c r="B5" s="14"/>
      <c r="C5" s="14"/>
      <c r="D5" s="19"/>
      <c r="E5" s="16"/>
      <c r="F5" s="14" t="s">
        <v>1</v>
      </c>
      <c r="G5" s="14"/>
      <c r="H5" s="19"/>
      <c r="I5" s="14"/>
      <c r="J5" s="14"/>
      <c r="K5" s="14"/>
      <c r="L5" s="14"/>
      <c r="M5" s="14"/>
      <c r="N5" s="19"/>
    </row>
    <row r="6" spans="1:14" s="1" customFormat="1" x14ac:dyDescent="0.2">
      <c r="A6" s="14"/>
      <c r="B6" s="14"/>
      <c r="C6" s="14"/>
      <c r="D6" s="19"/>
      <c r="E6" s="14"/>
      <c r="F6" s="14"/>
      <c r="G6" s="14"/>
      <c r="H6" s="14"/>
      <c r="I6" s="14"/>
      <c r="J6" s="14"/>
      <c r="K6" s="14"/>
      <c r="L6" s="14"/>
      <c r="M6" s="14"/>
      <c r="N6" s="19"/>
    </row>
    <row r="7" spans="1:14" s="1" customFormat="1" x14ac:dyDescent="0.2">
      <c r="A7" s="14"/>
      <c r="B7" s="14"/>
      <c r="C7" s="24"/>
      <c r="D7" s="25" t="s">
        <v>622</v>
      </c>
      <c r="E7" s="26"/>
      <c r="F7" s="26"/>
      <c r="G7" s="26"/>
      <c r="H7" s="26"/>
      <c r="I7" s="22"/>
      <c r="J7" s="22"/>
      <c r="K7" s="22"/>
      <c r="L7" s="22"/>
      <c r="M7" s="14"/>
      <c r="N7" s="19"/>
    </row>
    <row r="8" spans="1:14" s="1" customFormat="1" x14ac:dyDescent="0.2">
      <c r="A8" s="14"/>
      <c r="B8" s="14"/>
      <c r="C8" s="14"/>
      <c r="D8" s="27" t="s">
        <v>19</v>
      </c>
      <c r="E8" s="21"/>
      <c r="F8" s="21"/>
      <c r="G8" s="21"/>
      <c r="H8" s="19"/>
      <c r="I8" s="22"/>
      <c r="J8" s="22"/>
      <c r="K8" s="22"/>
      <c r="L8" s="22"/>
      <c r="M8" s="14"/>
      <c r="N8" s="19"/>
    </row>
    <row r="9" spans="1:14" s="1" customFormat="1" ht="7.5" customHeight="1" x14ac:dyDescent="0.2">
      <c r="A9" s="28"/>
      <c r="B9" s="28"/>
      <c r="C9" s="14"/>
      <c r="D9" s="19"/>
      <c r="E9" s="14"/>
      <c r="F9" s="14"/>
      <c r="G9" s="14"/>
      <c r="H9" s="14"/>
      <c r="I9" s="14"/>
      <c r="J9" s="14"/>
      <c r="K9" s="19"/>
      <c r="L9" s="19"/>
      <c r="M9" s="14"/>
      <c r="N9" s="19"/>
    </row>
    <row r="10" spans="1:14" x14ac:dyDescent="0.2">
      <c r="A10" s="68" t="s">
        <v>624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2">
      <c r="A11" s="29" t="s">
        <v>8</v>
      </c>
      <c r="B11" s="30"/>
      <c r="C11" s="70">
        <v>2686632.16</v>
      </c>
      <c r="D11" s="70"/>
      <c r="E11" s="70"/>
      <c r="F11" s="31" t="s">
        <v>7</v>
      </c>
      <c r="G11" s="32"/>
      <c r="H11" s="32"/>
      <c r="I11" s="32"/>
      <c r="J11" s="32"/>
      <c r="K11" s="33"/>
      <c r="L11" s="33"/>
      <c r="M11" s="33"/>
      <c r="N11" s="34"/>
    </row>
    <row r="12" spans="1:14" x14ac:dyDescent="0.2">
      <c r="A12" s="29" t="s">
        <v>18</v>
      </c>
      <c r="B12" s="30"/>
      <c r="C12" s="35"/>
      <c r="D12" s="71">
        <v>354402.46</v>
      </c>
      <c r="E12" s="71"/>
      <c r="F12" s="31" t="s">
        <v>7</v>
      </c>
      <c r="G12" s="32"/>
      <c r="H12" s="32"/>
      <c r="I12" s="32"/>
      <c r="J12" s="32"/>
      <c r="K12" s="33"/>
      <c r="L12" s="33"/>
      <c r="M12" s="33"/>
      <c r="N12" s="34"/>
    </row>
    <row r="13" spans="1:14" x14ac:dyDescent="0.2">
      <c r="A13" s="29" t="s">
        <v>620</v>
      </c>
      <c r="B13" s="34"/>
      <c r="C13" s="36"/>
      <c r="D13" s="37"/>
      <c r="E13" s="38"/>
      <c r="F13" s="39"/>
      <c r="G13" s="40"/>
      <c r="H13" s="40"/>
      <c r="I13" s="32"/>
      <c r="J13" s="32"/>
      <c r="K13" s="33"/>
      <c r="L13" s="33"/>
      <c r="M13" s="33"/>
      <c r="N13" s="34"/>
    </row>
    <row r="14" spans="1:14" ht="11.25" customHeight="1" x14ac:dyDescent="0.2">
      <c r="A14" s="41"/>
      <c r="B14" s="31"/>
      <c r="C14" s="31"/>
      <c r="D14" s="41"/>
      <c r="E14" s="32"/>
      <c r="F14" s="32"/>
      <c r="G14" s="32"/>
      <c r="H14" s="35"/>
      <c r="I14" s="32"/>
      <c r="J14" s="32"/>
      <c r="K14" s="32"/>
      <c r="L14" s="32"/>
      <c r="M14" s="32"/>
      <c r="N14" s="34" t="s">
        <v>7</v>
      </c>
    </row>
    <row r="15" spans="1:14" ht="12.75" customHeight="1" x14ac:dyDescent="0.2">
      <c r="A15" s="86" t="s">
        <v>2</v>
      </c>
      <c r="B15" s="86" t="s">
        <v>15</v>
      </c>
      <c r="C15" s="72" t="s">
        <v>20</v>
      </c>
      <c r="D15" s="72" t="s">
        <v>16</v>
      </c>
      <c r="E15" s="78" t="s">
        <v>21</v>
      </c>
      <c r="F15" s="79"/>
      <c r="G15" s="80"/>
      <c r="H15" s="72" t="s">
        <v>3</v>
      </c>
      <c r="I15" s="78" t="s">
        <v>22</v>
      </c>
      <c r="J15" s="84"/>
      <c r="K15" s="84"/>
      <c r="L15" s="75"/>
      <c r="M15" s="74" t="s">
        <v>17</v>
      </c>
      <c r="N15" s="75"/>
    </row>
    <row r="16" spans="1:14" s="5" customFormat="1" ht="38.25" customHeight="1" x14ac:dyDescent="0.2">
      <c r="A16" s="87"/>
      <c r="B16" s="87"/>
      <c r="C16" s="87"/>
      <c r="D16" s="87"/>
      <c r="E16" s="81"/>
      <c r="F16" s="82"/>
      <c r="G16" s="83"/>
      <c r="H16" s="87"/>
      <c r="I16" s="76"/>
      <c r="J16" s="85"/>
      <c r="K16" s="85"/>
      <c r="L16" s="77"/>
      <c r="M16" s="76"/>
      <c r="N16" s="77"/>
    </row>
    <row r="17" spans="1:20" s="5" customFormat="1" ht="12.75" customHeight="1" x14ac:dyDescent="0.2">
      <c r="A17" s="87"/>
      <c r="B17" s="87"/>
      <c r="C17" s="87"/>
      <c r="D17" s="87"/>
      <c r="E17" s="46" t="s">
        <v>10</v>
      </c>
      <c r="F17" s="46" t="s">
        <v>12</v>
      </c>
      <c r="G17" s="72" t="s">
        <v>14</v>
      </c>
      <c r="H17" s="87"/>
      <c r="I17" s="72" t="s">
        <v>10</v>
      </c>
      <c r="J17" s="72" t="s">
        <v>13</v>
      </c>
      <c r="K17" s="46" t="s">
        <v>12</v>
      </c>
      <c r="L17" s="72" t="s">
        <v>14</v>
      </c>
      <c r="M17" s="86" t="s">
        <v>6</v>
      </c>
      <c r="N17" s="72" t="s">
        <v>10</v>
      </c>
    </row>
    <row r="18" spans="1:20" s="5" customFormat="1" ht="11.25" customHeight="1" x14ac:dyDescent="0.2">
      <c r="A18" s="73"/>
      <c r="B18" s="73"/>
      <c r="C18" s="73"/>
      <c r="D18" s="73"/>
      <c r="E18" s="47" t="s">
        <v>9</v>
      </c>
      <c r="F18" s="46" t="s">
        <v>11</v>
      </c>
      <c r="G18" s="73"/>
      <c r="H18" s="73"/>
      <c r="I18" s="73"/>
      <c r="J18" s="73"/>
      <c r="K18" s="46" t="s">
        <v>11</v>
      </c>
      <c r="L18" s="73"/>
      <c r="M18" s="73"/>
      <c r="N18" s="73"/>
    </row>
    <row r="19" spans="1:20" x14ac:dyDescent="0.2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6"/>
      <c r="P19" s="6"/>
      <c r="Q19" s="6"/>
      <c r="R19" s="6"/>
      <c r="S19" s="6"/>
      <c r="T19" s="6"/>
    </row>
    <row r="20" spans="1:20" ht="17.850000000000001" customHeight="1" x14ac:dyDescent="0.2">
      <c r="A20" s="62" t="s">
        <v>26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20" ht="17.850000000000001" customHeight="1" x14ac:dyDescent="0.2">
      <c r="A21" s="64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20" ht="123.75" x14ac:dyDescent="0.2">
      <c r="A22" s="49">
        <v>1</v>
      </c>
      <c r="B22" s="50" t="s">
        <v>28</v>
      </c>
      <c r="C22" s="50" t="s">
        <v>29</v>
      </c>
      <c r="D22" s="49">
        <v>11.33</v>
      </c>
      <c r="E22" s="51" t="s">
        <v>30</v>
      </c>
      <c r="F22" s="51">
        <v>6.54</v>
      </c>
      <c r="G22" s="51">
        <v>12.56</v>
      </c>
      <c r="H22" s="52" t="s">
        <v>31</v>
      </c>
      <c r="I22" s="53">
        <v>66569.98</v>
      </c>
      <c r="J22" s="51">
        <v>64638.78</v>
      </c>
      <c r="K22" s="51">
        <v>1150</v>
      </c>
      <c r="L22" s="51" t="str">
        <f>IF(11.33*12.56=0," ",TEXT(,ROUND((11.33*12.56*5.49),2)))</f>
        <v>781.25</v>
      </c>
      <c r="M22" s="51">
        <v>43.6</v>
      </c>
      <c r="N22" s="51">
        <v>493.99</v>
      </c>
    </row>
    <row r="23" spans="1:20" ht="123.75" x14ac:dyDescent="0.2">
      <c r="A23" s="49">
        <v>2</v>
      </c>
      <c r="B23" s="50" t="s">
        <v>32</v>
      </c>
      <c r="C23" s="50" t="s">
        <v>33</v>
      </c>
      <c r="D23" s="49">
        <v>0.35</v>
      </c>
      <c r="E23" s="51" t="s">
        <v>34</v>
      </c>
      <c r="F23" s="51">
        <v>16.32</v>
      </c>
      <c r="G23" s="51">
        <v>30.33</v>
      </c>
      <c r="H23" s="52" t="s">
        <v>35</v>
      </c>
      <c r="I23" s="53">
        <v>3137.73</v>
      </c>
      <c r="J23" s="51">
        <v>2990.59</v>
      </c>
      <c r="K23" s="51">
        <v>88.65</v>
      </c>
      <c r="L23" s="51" t="str">
        <f>IF(0.35*30.33=0," ",TEXT(,ROUND((0.35*30.33*5.51),2)))</f>
        <v>58.49</v>
      </c>
      <c r="M23" s="51">
        <v>65.3</v>
      </c>
      <c r="N23" s="51">
        <v>22.86</v>
      </c>
    </row>
    <row r="24" spans="1:20" ht="67.5" x14ac:dyDescent="0.2">
      <c r="A24" s="49">
        <v>3</v>
      </c>
      <c r="B24" s="50" t="s">
        <v>36</v>
      </c>
      <c r="C24" s="50" t="s">
        <v>37</v>
      </c>
      <c r="D24" s="49">
        <v>1.84</v>
      </c>
      <c r="E24" s="51" t="s">
        <v>38</v>
      </c>
      <c r="F24" s="51" t="s">
        <v>39</v>
      </c>
      <c r="G24" s="51"/>
      <c r="H24" s="52" t="s">
        <v>40</v>
      </c>
      <c r="I24" s="53">
        <v>25465.599999999999</v>
      </c>
      <c r="J24" s="51">
        <v>24434.91</v>
      </c>
      <c r="K24" s="51" t="s">
        <v>41</v>
      </c>
      <c r="L24" s="51" t="str">
        <f>IF(1.84*0=0," ",TEXT(,ROUND((1.84*0*1),2)))</f>
        <v xml:space="preserve"> </v>
      </c>
      <c r="M24" s="51" t="s">
        <v>42</v>
      </c>
      <c r="N24" s="51" t="s">
        <v>43</v>
      </c>
    </row>
    <row r="25" spans="1:20" ht="67.5" x14ac:dyDescent="0.2">
      <c r="A25" s="49">
        <v>4</v>
      </c>
      <c r="B25" s="50" t="s">
        <v>44</v>
      </c>
      <c r="C25" s="50" t="s">
        <v>45</v>
      </c>
      <c r="D25" s="49">
        <v>0.1305</v>
      </c>
      <c r="E25" s="51" t="s">
        <v>46</v>
      </c>
      <c r="F25" s="51" t="s">
        <v>47</v>
      </c>
      <c r="G25" s="51"/>
      <c r="H25" s="52" t="s">
        <v>40</v>
      </c>
      <c r="I25" s="53">
        <v>294.83</v>
      </c>
      <c r="J25" s="51">
        <v>288.31</v>
      </c>
      <c r="K25" s="51" t="s">
        <v>48</v>
      </c>
      <c r="L25" s="51" t="str">
        <f>IF(0.1305*0=0," ",TEXT(,ROUND((0.1305*0*1),2)))</f>
        <v xml:space="preserve"> </v>
      </c>
      <c r="M25" s="51" t="s">
        <v>49</v>
      </c>
      <c r="N25" s="51" t="s">
        <v>50</v>
      </c>
    </row>
    <row r="26" spans="1:20" ht="17.850000000000001" customHeight="1" x14ac:dyDescent="0.2">
      <c r="A26" s="64" t="s">
        <v>51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20" ht="180" x14ac:dyDescent="0.2">
      <c r="A27" s="49">
        <v>5</v>
      </c>
      <c r="B27" s="50" t="s">
        <v>52</v>
      </c>
      <c r="C27" s="50" t="s">
        <v>53</v>
      </c>
      <c r="D27" s="49">
        <v>0.35</v>
      </c>
      <c r="E27" s="51" t="s">
        <v>54</v>
      </c>
      <c r="F27" s="51" t="s">
        <v>55</v>
      </c>
      <c r="G27" s="51">
        <v>6240.25</v>
      </c>
      <c r="H27" s="52" t="s">
        <v>56</v>
      </c>
      <c r="I27" s="53">
        <v>15138.55</v>
      </c>
      <c r="J27" s="51">
        <v>4805.87</v>
      </c>
      <c r="K27" s="51" t="s">
        <v>57</v>
      </c>
      <c r="L27" s="51" t="str">
        <f>IF(0.35*6240.25=0," ",TEXT(,ROUND((0.35*6240.25*4.29),2)))</f>
        <v>9369.74</v>
      </c>
      <c r="M27" s="51" t="s">
        <v>58</v>
      </c>
      <c r="N27" s="51" t="s">
        <v>59</v>
      </c>
    </row>
    <row r="28" spans="1:20" ht="180" x14ac:dyDescent="0.2">
      <c r="A28" s="49">
        <v>6</v>
      </c>
      <c r="B28" s="50" t="s">
        <v>60</v>
      </c>
      <c r="C28" s="50" t="s">
        <v>61</v>
      </c>
      <c r="D28" s="49">
        <v>0.32</v>
      </c>
      <c r="E28" s="51" t="s">
        <v>62</v>
      </c>
      <c r="F28" s="51" t="s">
        <v>63</v>
      </c>
      <c r="G28" s="51">
        <v>4361.95</v>
      </c>
      <c r="H28" s="52" t="s">
        <v>64</v>
      </c>
      <c r="I28" s="53">
        <v>7874.93</v>
      </c>
      <c r="J28" s="51">
        <v>2222.1999999999998</v>
      </c>
      <c r="K28" s="51" t="s">
        <v>65</v>
      </c>
      <c r="L28" s="51" t="str">
        <f>IF(0.32*4361.95=0," ",TEXT(,ROUND((0.32*4361.95*3.79),2)))</f>
        <v>5290.17</v>
      </c>
      <c r="M28" s="51" t="s">
        <v>66</v>
      </c>
      <c r="N28" s="51" t="s">
        <v>67</v>
      </c>
    </row>
    <row r="29" spans="1:20" ht="180" x14ac:dyDescent="0.2">
      <c r="A29" s="49">
        <v>7</v>
      </c>
      <c r="B29" s="50" t="s">
        <v>68</v>
      </c>
      <c r="C29" s="50" t="s">
        <v>69</v>
      </c>
      <c r="D29" s="49">
        <v>0.42</v>
      </c>
      <c r="E29" s="51" t="s">
        <v>70</v>
      </c>
      <c r="F29" s="51" t="s">
        <v>71</v>
      </c>
      <c r="G29" s="51">
        <v>2855.5</v>
      </c>
      <c r="H29" s="52" t="s">
        <v>72</v>
      </c>
      <c r="I29" s="53">
        <v>8978.11</v>
      </c>
      <c r="J29" s="51">
        <v>2349.98</v>
      </c>
      <c r="K29" s="51" t="s">
        <v>73</v>
      </c>
      <c r="L29" s="51" t="str">
        <f>IF(0.42*2855.5=0," ",TEXT(,ROUND((0.42*2855.5*5.32),2)))</f>
        <v>6380.33</v>
      </c>
      <c r="M29" s="51" t="s">
        <v>74</v>
      </c>
      <c r="N29" s="51" t="s">
        <v>75</v>
      </c>
    </row>
    <row r="30" spans="1:20" ht="180" x14ac:dyDescent="0.2">
      <c r="A30" s="49">
        <v>8</v>
      </c>
      <c r="B30" s="50" t="s">
        <v>76</v>
      </c>
      <c r="C30" s="50" t="s">
        <v>77</v>
      </c>
      <c r="D30" s="49">
        <v>0.92</v>
      </c>
      <c r="E30" s="51" t="s">
        <v>78</v>
      </c>
      <c r="F30" s="51" t="s">
        <v>71</v>
      </c>
      <c r="G30" s="51">
        <v>3089.96</v>
      </c>
      <c r="H30" s="52" t="s">
        <v>79</v>
      </c>
      <c r="I30" s="53">
        <v>17544.7</v>
      </c>
      <c r="J30" s="51">
        <v>5147.58</v>
      </c>
      <c r="K30" s="51" t="s">
        <v>80</v>
      </c>
      <c r="L30" s="51" t="str">
        <f>IF(0.92*3089.96=0," ",TEXT(,ROUND((0.92*3089.96*4.17),2)))</f>
        <v>11854.32</v>
      </c>
      <c r="M30" s="51" t="s">
        <v>74</v>
      </c>
      <c r="N30" s="51" t="s">
        <v>81</v>
      </c>
    </row>
    <row r="31" spans="1:20" ht="180" x14ac:dyDescent="0.2">
      <c r="A31" s="49">
        <v>9</v>
      </c>
      <c r="B31" s="50" t="s">
        <v>82</v>
      </c>
      <c r="C31" s="50" t="s">
        <v>83</v>
      </c>
      <c r="D31" s="49">
        <v>0.31</v>
      </c>
      <c r="E31" s="51" t="s">
        <v>84</v>
      </c>
      <c r="F31" s="51" t="s">
        <v>71</v>
      </c>
      <c r="G31" s="51">
        <v>2578.88</v>
      </c>
      <c r="H31" s="52" t="s">
        <v>85</v>
      </c>
      <c r="I31" s="53">
        <v>5450.99</v>
      </c>
      <c r="J31" s="51">
        <v>1734.51</v>
      </c>
      <c r="K31" s="51" t="s">
        <v>86</v>
      </c>
      <c r="L31" s="51" t="str">
        <f>IF(0.31*2578.88=0," ",TEXT(,ROUND((0.31*2578.88*4.42),2)))</f>
        <v>3533.58</v>
      </c>
      <c r="M31" s="51" t="s">
        <v>74</v>
      </c>
      <c r="N31" s="51" t="s">
        <v>87</v>
      </c>
    </row>
    <row r="32" spans="1:20" ht="180" x14ac:dyDescent="0.2">
      <c r="A32" s="49">
        <v>10</v>
      </c>
      <c r="B32" s="50" t="s">
        <v>88</v>
      </c>
      <c r="C32" s="50" t="s">
        <v>89</v>
      </c>
      <c r="D32" s="49">
        <v>8.44</v>
      </c>
      <c r="E32" s="51" t="s">
        <v>90</v>
      </c>
      <c r="F32" s="51" t="s">
        <v>71</v>
      </c>
      <c r="G32" s="51">
        <v>2366.27</v>
      </c>
      <c r="H32" s="52" t="s">
        <v>91</v>
      </c>
      <c r="I32" s="53">
        <v>135483.44</v>
      </c>
      <c r="J32" s="51">
        <v>47223.49</v>
      </c>
      <c r="K32" s="51" t="s">
        <v>92</v>
      </c>
      <c r="L32" s="51" t="str">
        <f>IF(8.44*2366.27=0," ",TEXT(,ROUND((8.44*2366.27*4.17),2)))</f>
        <v>83280.4</v>
      </c>
      <c r="M32" s="51" t="s">
        <v>74</v>
      </c>
      <c r="N32" s="51" t="s">
        <v>93</v>
      </c>
    </row>
    <row r="33" spans="1:14" ht="180" x14ac:dyDescent="0.2">
      <c r="A33" s="49">
        <v>11</v>
      </c>
      <c r="B33" s="50" t="s">
        <v>94</v>
      </c>
      <c r="C33" s="50" t="s">
        <v>95</v>
      </c>
      <c r="D33" s="49">
        <v>0.92</v>
      </c>
      <c r="E33" s="51" t="s">
        <v>96</v>
      </c>
      <c r="F33" s="51" t="s">
        <v>71</v>
      </c>
      <c r="G33" s="51">
        <v>1988.81</v>
      </c>
      <c r="H33" s="52" t="s">
        <v>97</v>
      </c>
      <c r="I33" s="53">
        <v>13667.89</v>
      </c>
      <c r="J33" s="51">
        <v>5147.58</v>
      </c>
      <c r="K33" s="51" t="s">
        <v>80</v>
      </c>
      <c r="L33" s="51" t="str">
        <f>IF(0.92*1988.81=0," ",TEXT(,ROUND((0.92*1988.81*4.36),2)))</f>
        <v>7977.51</v>
      </c>
      <c r="M33" s="51" t="s">
        <v>74</v>
      </c>
      <c r="N33" s="51" t="s">
        <v>81</v>
      </c>
    </row>
    <row r="34" spans="1:14" ht="56.25" x14ac:dyDescent="0.2">
      <c r="A34" s="49">
        <v>12</v>
      </c>
      <c r="B34" s="50" t="s">
        <v>98</v>
      </c>
      <c r="C34" s="50" t="s">
        <v>99</v>
      </c>
      <c r="D34" s="49">
        <v>8</v>
      </c>
      <c r="E34" s="51">
        <v>120.2</v>
      </c>
      <c r="F34" s="51"/>
      <c r="G34" s="51">
        <v>120.2</v>
      </c>
      <c r="H34" s="52" t="s">
        <v>100</v>
      </c>
      <c r="I34" s="53">
        <v>1868.4</v>
      </c>
      <c r="J34" s="51"/>
      <c r="K34" s="51"/>
      <c r="L34" s="51" t="str">
        <f>IF(8*120.2=0," ",TEXT(,ROUND((8*120.2*1.943),2)))</f>
        <v>1868.39</v>
      </c>
      <c r="M34" s="51"/>
      <c r="N34" s="51"/>
    </row>
    <row r="35" spans="1:14" ht="56.25" x14ac:dyDescent="0.2">
      <c r="A35" s="49">
        <v>13</v>
      </c>
      <c r="B35" s="50" t="s">
        <v>101</v>
      </c>
      <c r="C35" s="50" t="s">
        <v>102</v>
      </c>
      <c r="D35" s="49" t="s">
        <v>103</v>
      </c>
      <c r="E35" s="51">
        <v>79.099999999999994</v>
      </c>
      <c r="F35" s="51"/>
      <c r="G35" s="51">
        <v>79.099999999999994</v>
      </c>
      <c r="H35" s="52" t="s">
        <v>104</v>
      </c>
      <c r="I35" s="53">
        <v>36426.78</v>
      </c>
      <c r="J35" s="51"/>
      <c r="K35" s="51"/>
      <c r="L35" s="51" t="str">
        <f>IF(234*79.1=0," ",TEXT(,ROUND((234*79.1*1.968),2)))</f>
        <v>36426.5</v>
      </c>
      <c r="M35" s="51"/>
      <c r="N35" s="51"/>
    </row>
    <row r="36" spans="1:14" ht="56.25" x14ac:dyDescent="0.2">
      <c r="A36" s="49">
        <v>14</v>
      </c>
      <c r="B36" s="50" t="s">
        <v>105</v>
      </c>
      <c r="C36" s="50" t="s">
        <v>106</v>
      </c>
      <c r="D36" s="49">
        <v>48</v>
      </c>
      <c r="E36" s="51">
        <v>53.8</v>
      </c>
      <c r="F36" s="51"/>
      <c r="G36" s="51">
        <v>53.8</v>
      </c>
      <c r="H36" s="52" t="s">
        <v>107</v>
      </c>
      <c r="I36" s="53">
        <v>4648.32</v>
      </c>
      <c r="J36" s="51"/>
      <c r="K36" s="51"/>
      <c r="L36" s="51" t="str">
        <f>IF(48*53.8=0," ",TEXT(,ROUND((48*53.8*1.8),2)))</f>
        <v>4648.32</v>
      </c>
      <c r="M36" s="51"/>
      <c r="N36" s="51"/>
    </row>
    <row r="37" spans="1:14" ht="45" x14ac:dyDescent="0.2">
      <c r="A37" s="49">
        <v>15</v>
      </c>
      <c r="B37" s="50" t="s">
        <v>108</v>
      </c>
      <c r="C37" s="50" t="s">
        <v>109</v>
      </c>
      <c r="D37" s="49">
        <v>186</v>
      </c>
      <c r="E37" s="51">
        <v>167.98</v>
      </c>
      <c r="F37" s="51"/>
      <c r="G37" s="51">
        <v>167.98</v>
      </c>
      <c r="H37" s="52" t="s">
        <v>110</v>
      </c>
      <c r="I37" s="53">
        <v>157471.32</v>
      </c>
      <c r="J37" s="51"/>
      <c r="K37" s="51"/>
      <c r="L37" s="51" t="str">
        <f>IF(186*167.98=0," ",TEXT(,ROUND((186*167.98*5.04),2)))</f>
        <v>157471.17</v>
      </c>
      <c r="M37" s="51"/>
      <c r="N37" s="51"/>
    </row>
    <row r="38" spans="1:14" ht="180" x14ac:dyDescent="0.2">
      <c r="A38" s="49">
        <v>16</v>
      </c>
      <c r="B38" s="50" t="s">
        <v>111</v>
      </c>
      <c r="C38" s="50" t="s">
        <v>112</v>
      </c>
      <c r="D38" s="49">
        <v>4</v>
      </c>
      <c r="E38" s="51" t="s">
        <v>113</v>
      </c>
      <c r="F38" s="51">
        <v>5.73</v>
      </c>
      <c r="G38" s="51">
        <v>80.66</v>
      </c>
      <c r="H38" s="52" t="s">
        <v>114</v>
      </c>
      <c r="I38" s="53">
        <v>2610.16</v>
      </c>
      <c r="J38" s="51">
        <v>940.6</v>
      </c>
      <c r="K38" s="51">
        <v>162.80000000000001</v>
      </c>
      <c r="L38" s="51" t="str">
        <f>IF(4*80.66=0," ",TEXT(,ROUND((4*80.66*4.67),2)))</f>
        <v>1506.73</v>
      </c>
      <c r="M38" s="51">
        <v>1.69</v>
      </c>
      <c r="N38" s="51">
        <v>6.76</v>
      </c>
    </row>
    <row r="39" spans="1:14" ht="90" x14ac:dyDescent="0.2">
      <c r="A39" s="49">
        <v>17</v>
      </c>
      <c r="B39" s="50" t="s">
        <v>115</v>
      </c>
      <c r="C39" s="50" t="s">
        <v>116</v>
      </c>
      <c r="D39" s="49">
        <v>-8</v>
      </c>
      <c r="E39" s="51">
        <v>28</v>
      </c>
      <c r="F39" s="51"/>
      <c r="G39" s="51">
        <v>28</v>
      </c>
      <c r="H39" s="52" t="s">
        <v>117</v>
      </c>
      <c r="I39" s="53">
        <v>-1109.92</v>
      </c>
      <c r="J39" s="51"/>
      <c r="K39" s="51"/>
      <c r="L39" s="51" t="str">
        <f>IF(-8*28=0," ",TEXT(,ROUND((-8*28*4.955),2)))</f>
        <v>-1109.92</v>
      </c>
      <c r="M39" s="51"/>
      <c r="N39" s="51"/>
    </row>
    <row r="40" spans="1:14" ht="90" x14ac:dyDescent="0.2">
      <c r="A40" s="49">
        <v>18</v>
      </c>
      <c r="B40" s="50" t="s">
        <v>118</v>
      </c>
      <c r="C40" s="50" t="s">
        <v>119</v>
      </c>
      <c r="D40" s="49">
        <v>8</v>
      </c>
      <c r="E40" s="51">
        <v>23</v>
      </c>
      <c r="F40" s="51"/>
      <c r="G40" s="51">
        <v>23</v>
      </c>
      <c r="H40" s="52" t="s">
        <v>120</v>
      </c>
      <c r="I40" s="53">
        <v>1199.28</v>
      </c>
      <c r="J40" s="51"/>
      <c r="K40" s="51"/>
      <c r="L40" s="51" t="str">
        <f>IF(8*23=0," ",TEXT(,ROUND((8*23*6.518),2)))</f>
        <v>1199.31</v>
      </c>
      <c r="M40" s="51"/>
      <c r="N40" s="51"/>
    </row>
    <row r="41" spans="1:14" ht="123.75" x14ac:dyDescent="0.2">
      <c r="A41" s="49">
        <v>19</v>
      </c>
      <c r="B41" s="50" t="s">
        <v>121</v>
      </c>
      <c r="C41" s="50" t="s">
        <v>122</v>
      </c>
      <c r="D41" s="49">
        <v>4</v>
      </c>
      <c r="E41" s="51">
        <v>616.97</v>
      </c>
      <c r="F41" s="51"/>
      <c r="G41" s="51">
        <v>616.97</v>
      </c>
      <c r="H41" s="52" t="s">
        <v>110</v>
      </c>
      <c r="I41" s="53">
        <v>12438.12</v>
      </c>
      <c r="J41" s="51"/>
      <c r="K41" s="51"/>
      <c r="L41" s="51" t="str">
        <f>IF(4*616.97=0," ",TEXT(,ROUND((4*616.97*5.04),2)))</f>
        <v>12438.12</v>
      </c>
      <c r="M41" s="51"/>
      <c r="N41" s="51"/>
    </row>
    <row r="42" spans="1:14" ht="78.75" x14ac:dyDescent="0.2">
      <c r="A42" s="49">
        <v>20</v>
      </c>
      <c r="B42" s="50" t="s">
        <v>123</v>
      </c>
      <c r="C42" s="50" t="s">
        <v>124</v>
      </c>
      <c r="D42" s="49">
        <v>4</v>
      </c>
      <c r="E42" s="51" t="s">
        <v>125</v>
      </c>
      <c r="F42" s="51" t="s">
        <v>126</v>
      </c>
      <c r="G42" s="51">
        <v>71.010000000000005</v>
      </c>
      <c r="H42" s="52" t="s">
        <v>127</v>
      </c>
      <c r="I42" s="53">
        <v>4805.12</v>
      </c>
      <c r="J42" s="51">
        <v>1206.96</v>
      </c>
      <c r="K42" s="51" t="s">
        <v>128</v>
      </c>
      <c r="L42" s="51" t="str">
        <f>IF(4*71.01=0," ",TEXT(,ROUND((4*71.01*6.01),2)))</f>
        <v>1707.08</v>
      </c>
      <c r="M42" s="51" t="s">
        <v>129</v>
      </c>
      <c r="N42" s="51" t="s">
        <v>130</v>
      </c>
    </row>
    <row r="43" spans="1:14" ht="45" x14ac:dyDescent="0.2">
      <c r="A43" s="49">
        <v>21</v>
      </c>
      <c r="B43" s="50" t="s">
        <v>131</v>
      </c>
      <c r="C43" s="50" t="s">
        <v>132</v>
      </c>
      <c r="D43" s="49">
        <v>4</v>
      </c>
      <c r="E43" s="51">
        <v>736.66</v>
      </c>
      <c r="F43" s="51"/>
      <c r="G43" s="51">
        <v>736.66</v>
      </c>
      <c r="H43" s="52" t="s">
        <v>110</v>
      </c>
      <c r="I43" s="53">
        <v>14851.08</v>
      </c>
      <c r="J43" s="51"/>
      <c r="K43" s="51"/>
      <c r="L43" s="51" t="str">
        <f>IF(4*736.66=0," ",TEXT(,ROUND((4*736.66*5.04),2)))</f>
        <v>14851.07</v>
      </c>
      <c r="M43" s="51"/>
      <c r="N43" s="51"/>
    </row>
    <row r="44" spans="1:14" ht="157.5" x14ac:dyDescent="0.2">
      <c r="A44" s="49">
        <v>22</v>
      </c>
      <c r="B44" s="50" t="s">
        <v>133</v>
      </c>
      <c r="C44" s="50" t="s">
        <v>134</v>
      </c>
      <c r="D44" s="49">
        <v>1.9568000000000001</v>
      </c>
      <c r="E44" s="51" t="s">
        <v>135</v>
      </c>
      <c r="F44" s="51" t="s">
        <v>136</v>
      </c>
      <c r="G44" s="51">
        <v>33116.67</v>
      </c>
      <c r="H44" s="52" t="s">
        <v>137</v>
      </c>
      <c r="I44" s="53">
        <v>540955.4</v>
      </c>
      <c r="J44" s="51">
        <v>23440.06</v>
      </c>
      <c r="K44" s="51" t="s">
        <v>138</v>
      </c>
      <c r="L44" s="51" t="str">
        <f>IF(1.9568*33116.67=0," ",TEXT(,ROUND((1.9568*33116.67*7.85),2)))</f>
        <v>508701.19</v>
      </c>
      <c r="M44" s="51" t="s">
        <v>139</v>
      </c>
      <c r="N44" s="51" t="s">
        <v>140</v>
      </c>
    </row>
    <row r="45" spans="1:14" ht="146.25" x14ac:dyDescent="0.2">
      <c r="A45" s="49">
        <v>23</v>
      </c>
      <c r="B45" s="50" t="s">
        <v>141</v>
      </c>
      <c r="C45" s="50" t="s">
        <v>142</v>
      </c>
      <c r="D45" s="49">
        <v>7.3700000000000002E-2</v>
      </c>
      <c r="E45" s="51" t="s">
        <v>143</v>
      </c>
      <c r="F45" s="51" t="s">
        <v>144</v>
      </c>
      <c r="G45" s="51">
        <v>19744.29</v>
      </c>
      <c r="H45" s="52" t="s">
        <v>145</v>
      </c>
      <c r="I45" s="53">
        <v>5163.66</v>
      </c>
      <c r="J45" s="51">
        <v>1126.22</v>
      </c>
      <c r="K45" s="51" t="s">
        <v>146</v>
      </c>
      <c r="L45" s="51" t="str">
        <f>IF(0.0737*19744.29=0," ",TEXT(,ROUND((0.0737*19744.29*2.66),2)))</f>
        <v>3870.71</v>
      </c>
      <c r="M45" s="51" t="s">
        <v>147</v>
      </c>
      <c r="N45" s="51" t="s">
        <v>148</v>
      </c>
    </row>
    <row r="46" spans="1:14" ht="146.25" x14ac:dyDescent="0.2">
      <c r="A46" s="49">
        <v>24</v>
      </c>
      <c r="B46" s="50" t="s">
        <v>149</v>
      </c>
      <c r="C46" s="50" t="s">
        <v>150</v>
      </c>
      <c r="D46" s="49">
        <v>1</v>
      </c>
      <c r="E46" s="51" t="s">
        <v>151</v>
      </c>
      <c r="F46" s="51"/>
      <c r="G46" s="51">
        <v>25.93</v>
      </c>
      <c r="H46" s="52" t="s">
        <v>152</v>
      </c>
      <c r="I46" s="53">
        <v>78.489999999999995</v>
      </c>
      <c r="J46" s="51">
        <v>21.7</v>
      </c>
      <c r="K46" s="51"/>
      <c r="L46" s="51" t="str">
        <f>IF(1*25.93=0," ",TEXT(,ROUND((1*25.93*2.19),2)))</f>
        <v>56.79</v>
      </c>
      <c r="M46" s="51">
        <v>0.14000000000000001</v>
      </c>
      <c r="N46" s="51">
        <v>0.14000000000000001</v>
      </c>
    </row>
    <row r="47" spans="1:14" ht="90" x14ac:dyDescent="0.2">
      <c r="A47" s="49">
        <v>25</v>
      </c>
      <c r="B47" s="50" t="s">
        <v>121</v>
      </c>
      <c r="C47" s="50" t="s">
        <v>153</v>
      </c>
      <c r="D47" s="49">
        <v>23</v>
      </c>
      <c r="E47" s="51">
        <v>106.36</v>
      </c>
      <c r="F47" s="51"/>
      <c r="G47" s="51">
        <v>106.36</v>
      </c>
      <c r="H47" s="52" t="s">
        <v>110</v>
      </c>
      <c r="I47" s="53">
        <v>12329.15</v>
      </c>
      <c r="J47" s="51"/>
      <c r="K47" s="51"/>
      <c r="L47" s="51" t="str">
        <f>IF(23*106.36=0," ",TEXT(,ROUND((23*106.36*5.04),2)))</f>
        <v>12329.25</v>
      </c>
      <c r="M47" s="51"/>
      <c r="N47" s="51"/>
    </row>
    <row r="48" spans="1:14" ht="191.25" x14ac:dyDescent="0.2">
      <c r="A48" s="49">
        <v>26</v>
      </c>
      <c r="B48" s="50" t="s">
        <v>154</v>
      </c>
      <c r="C48" s="50" t="s">
        <v>155</v>
      </c>
      <c r="D48" s="49">
        <v>0.35</v>
      </c>
      <c r="E48" s="51" t="s">
        <v>156</v>
      </c>
      <c r="F48" s="51">
        <v>55.64</v>
      </c>
      <c r="G48" s="51">
        <v>11.11</v>
      </c>
      <c r="H48" s="52" t="s">
        <v>157</v>
      </c>
      <c r="I48" s="53">
        <v>412.53</v>
      </c>
      <c r="J48" s="51">
        <v>360.09</v>
      </c>
      <c r="K48" s="51">
        <v>14.02</v>
      </c>
      <c r="L48" s="51" t="str">
        <f>IF(0.35*11.11=0," ",TEXT(,ROUND((0.35*11.11*9.88),2)))</f>
        <v>38.42</v>
      </c>
      <c r="M48" s="51">
        <v>5.76</v>
      </c>
      <c r="N48" s="51">
        <v>2.02</v>
      </c>
    </row>
    <row r="49" spans="1:14" ht="191.25" x14ac:dyDescent="0.2">
      <c r="A49" s="49">
        <v>27</v>
      </c>
      <c r="B49" s="50" t="s">
        <v>158</v>
      </c>
      <c r="C49" s="50" t="s">
        <v>159</v>
      </c>
      <c r="D49" s="49">
        <v>11.33</v>
      </c>
      <c r="E49" s="51" t="s">
        <v>160</v>
      </c>
      <c r="F49" s="51">
        <v>55.64</v>
      </c>
      <c r="G49" s="51">
        <v>4.28</v>
      </c>
      <c r="H49" s="52" t="s">
        <v>161</v>
      </c>
      <c r="I49" s="53">
        <v>12465.83</v>
      </c>
      <c r="J49" s="51">
        <v>11656.53</v>
      </c>
      <c r="K49" s="51">
        <v>453.88</v>
      </c>
      <c r="L49" s="51" t="str">
        <f>IF(11.33*4.28=0," ",TEXT(,ROUND((11.33*4.28*7.33),2)))</f>
        <v>355.45</v>
      </c>
      <c r="M49" s="51">
        <v>5.76</v>
      </c>
      <c r="N49" s="51">
        <v>65.260000000000005</v>
      </c>
    </row>
    <row r="50" spans="1:14" ht="56.25" x14ac:dyDescent="0.2">
      <c r="A50" s="49">
        <v>28</v>
      </c>
      <c r="B50" s="50" t="s">
        <v>162</v>
      </c>
      <c r="C50" s="50" t="s">
        <v>163</v>
      </c>
      <c r="D50" s="49">
        <v>300</v>
      </c>
      <c r="E50" s="51">
        <v>11.98</v>
      </c>
      <c r="F50" s="51"/>
      <c r="G50" s="51">
        <v>11.98</v>
      </c>
      <c r="H50" s="52" t="s">
        <v>164</v>
      </c>
      <c r="I50" s="53">
        <v>11742</v>
      </c>
      <c r="J50" s="51"/>
      <c r="K50" s="51"/>
      <c r="L50" s="51" t="str">
        <f>IF(300*11.98=0," ",TEXT(,ROUND((300*11.98*3.267),2)))</f>
        <v>11741.6</v>
      </c>
      <c r="M50" s="51"/>
      <c r="N50" s="51"/>
    </row>
    <row r="51" spans="1:14" ht="17.850000000000001" customHeight="1" x14ac:dyDescent="0.2">
      <c r="A51" s="64" t="s">
        <v>165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57.5" x14ac:dyDescent="0.2">
      <c r="A52" s="49">
        <v>29</v>
      </c>
      <c r="B52" s="50" t="s">
        <v>166</v>
      </c>
      <c r="C52" s="50" t="s">
        <v>167</v>
      </c>
      <c r="D52" s="49">
        <v>0.96</v>
      </c>
      <c r="E52" s="51" t="s">
        <v>168</v>
      </c>
      <c r="F52" s="51">
        <v>46.38</v>
      </c>
      <c r="G52" s="51">
        <v>4419.7299999999996</v>
      </c>
      <c r="H52" s="52" t="s">
        <v>169</v>
      </c>
      <c r="I52" s="53">
        <v>6976.38</v>
      </c>
      <c r="J52" s="51">
        <v>3115.77</v>
      </c>
      <c r="K52" s="51">
        <v>423.83</v>
      </c>
      <c r="L52" s="51" t="str">
        <f>IF(0.96*4419.73=0," ",TEXT(,ROUND((0.96*4419.73*0.81),2)))</f>
        <v>3436.78</v>
      </c>
      <c r="M52" s="51">
        <v>21.68</v>
      </c>
      <c r="N52" s="51">
        <v>20.81</v>
      </c>
    </row>
    <row r="53" spans="1:14" ht="56.25" x14ac:dyDescent="0.2">
      <c r="A53" s="49">
        <v>30</v>
      </c>
      <c r="B53" s="50" t="s">
        <v>170</v>
      </c>
      <c r="C53" s="50" t="s">
        <v>171</v>
      </c>
      <c r="D53" s="49">
        <v>-2.5440000000000001E-2</v>
      </c>
      <c r="E53" s="51">
        <v>11000</v>
      </c>
      <c r="F53" s="51"/>
      <c r="G53" s="51">
        <v>11000</v>
      </c>
      <c r="H53" s="52" t="s">
        <v>172</v>
      </c>
      <c r="I53" s="53">
        <v>-763.68</v>
      </c>
      <c r="J53" s="51"/>
      <c r="K53" s="51"/>
      <c r="L53" s="51" t="str">
        <f>IF(-0.02544*11000=0," ",TEXT(,ROUND((-0.02544*11000*2.729),2)))</f>
        <v>-763.68</v>
      </c>
      <c r="M53" s="51"/>
      <c r="N53" s="51"/>
    </row>
    <row r="54" spans="1:14" ht="191.25" x14ac:dyDescent="0.2">
      <c r="A54" s="49">
        <v>31</v>
      </c>
      <c r="B54" s="50" t="s">
        <v>173</v>
      </c>
      <c r="C54" s="50" t="s">
        <v>174</v>
      </c>
      <c r="D54" s="49">
        <v>1.56</v>
      </c>
      <c r="E54" s="51" t="s">
        <v>175</v>
      </c>
      <c r="F54" s="51">
        <v>91.05</v>
      </c>
      <c r="G54" s="51">
        <v>478.08</v>
      </c>
      <c r="H54" s="52" t="s">
        <v>176</v>
      </c>
      <c r="I54" s="53">
        <v>28637.26</v>
      </c>
      <c r="J54" s="51">
        <v>25301.58</v>
      </c>
      <c r="K54" s="51">
        <v>1359.31</v>
      </c>
      <c r="L54" s="51" t="str">
        <f>IF(1.56*478.08=0," ",TEXT(,ROUND((1.56*478.08*2.65),2)))</f>
        <v>1976.38</v>
      </c>
      <c r="M54" s="51">
        <v>108.33</v>
      </c>
      <c r="N54" s="51">
        <v>168.99</v>
      </c>
    </row>
    <row r="55" spans="1:14" ht="56.25" x14ac:dyDescent="0.2">
      <c r="A55" s="49">
        <v>32</v>
      </c>
      <c r="B55" s="50" t="s">
        <v>170</v>
      </c>
      <c r="C55" s="50" t="s">
        <v>171</v>
      </c>
      <c r="D55" s="49">
        <v>-4.1340000000000002E-2</v>
      </c>
      <c r="E55" s="51">
        <v>11000</v>
      </c>
      <c r="F55" s="51"/>
      <c r="G55" s="51">
        <v>11000</v>
      </c>
      <c r="H55" s="52" t="s">
        <v>172</v>
      </c>
      <c r="I55" s="53">
        <v>-1240.99</v>
      </c>
      <c r="J55" s="51"/>
      <c r="K55" s="51"/>
      <c r="L55" s="51" t="str">
        <f>IF(-0.04134*11000=0," ",TEXT(,ROUND((-0.04134*11000*2.729),2)))</f>
        <v>-1240.99</v>
      </c>
      <c r="M55" s="51"/>
      <c r="N55" s="51"/>
    </row>
    <row r="56" spans="1:14" ht="78.75" x14ac:dyDescent="0.2">
      <c r="A56" s="49">
        <v>33</v>
      </c>
      <c r="B56" s="50" t="s">
        <v>177</v>
      </c>
      <c r="C56" s="50" t="s">
        <v>178</v>
      </c>
      <c r="D56" s="49">
        <v>3.214</v>
      </c>
      <c r="E56" s="51">
        <v>3497.75</v>
      </c>
      <c r="F56" s="51"/>
      <c r="G56" s="51">
        <v>3497.75</v>
      </c>
      <c r="H56" s="52" t="s">
        <v>179</v>
      </c>
      <c r="I56" s="53">
        <v>6677.6</v>
      </c>
      <c r="J56" s="51"/>
      <c r="K56" s="51"/>
      <c r="L56" s="51" t="str">
        <f>IF(3.214*3497.75=0," ",TEXT(,ROUND((3.214*3497.75*0.594),2)))</f>
        <v>6677.61</v>
      </c>
      <c r="M56" s="51"/>
      <c r="N56" s="51"/>
    </row>
    <row r="57" spans="1:14" ht="180" x14ac:dyDescent="0.2">
      <c r="A57" s="49">
        <v>34</v>
      </c>
      <c r="B57" s="50" t="s">
        <v>180</v>
      </c>
      <c r="C57" s="50" t="s">
        <v>181</v>
      </c>
      <c r="D57" s="49">
        <v>0.92159999999999997</v>
      </c>
      <c r="E57" s="51" t="s">
        <v>182</v>
      </c>
      <c r="F57" s="51">
        <v>63.24</v>
      </c>
      <c r="G57" s="51">
        <v>1404.64</v>
      </c>
      <c r="H57" s="52" t="s">
        <v>183</v>
      </c>
      <c r="I57" s="53">
        <v>15350.24</v>
      </c>
      <c r="J57" s="51">
        <v>4492.2299999999996</v>
      </c>
      <c r="K57" s="51">
        <v>553.66</v>
      </c>
      <c r="L57" s="51" t="str">
        <f>IF(0.9216*1404.64=0," ",TEXT(,ROUND((0.9216*1404.64*7.96),2)))</f>
        <v>10304.35</v>
      </c>
      <c r="M57" s="51">
        <v>36.78</v>
      </c>
      <c r="N57" s="51">
        <v>33.9</v>
      </c>
    </row>
    <row r="58" spans="1:14" ht="101.25" x14ac:dyDescent="0.2">
      <c r="A58" s="49">
        <v>35</v>
      </c>
      <c r="B58" s="50" t="s">
        <v>184</v>
      </c>
      <c r="C58" s="50" t="s">
        <v>185</v>
      </c>
      <c r="D58" s="49">
        <v>-0.106</v>
      </c>
      <c r="E58" s="51">
        <v>7800</v>
      </c>
      <c r="F58" s="51"/>
      <c r="G58" s="51">
        <v>7800</v>
      </c>
      <c r="H58" s="52" t="s">
        <v>186</v>
      </c>
      <c r="I58" s="53">
        <v>-7925.7</v>
      </c>
      <c r="J58" s="51"/>
      <c r="K58" s="51"/>
      <c r="L58" s="51" t="str">
        <f>IF(-0.106*7800=0," ",TEXT(,ROUND((-0.106*7800*9.586),2)))</f>
        <v>-7925.7</v>
      </c>
      <c r="M58" s="51"/>
      <c r="N58" s="51"/>
    </row>
    <row r="59" spans="1:14" ht="112.5" x14ac:dyDescent="0.2">
      <c r="A59" s="49">
        <v>36</v>
      </c>
      <c r="B59" s="50" t="s">
        <v>187</v>
      </c>
      <c r="C59" s="50" t="s">
        <v>188</v>
      </c>
      <c r="D59" s="49">
        <v>0.106</v>
      </c>
      <c r="E59" s="51">
        <v>22020</v>
      </c>
      <c r="F59" s="51"/>
      <c r="G59" s="51">
        <v>22020</v>
      </c>
      <c r="H59" s="52" t="s">
        <v>189</v>
      </c>
      <c r="I59" s="53">
        <v>3580.54</v>
      </c>
      <c r="J59" s="51"/>
      <c r="K59" s="51"/>
      <c r="L59" s="51" t="str">
        <f>IF(0.106*22020=0," ",TEXT(,ROUND((0.106*22020*1.534),2)))</f>
        <v>3580.54</v>
      </c>
      <c r="M59" s="51"/>
      <c r="N59" s="51"/>
    </row>
    <row r="60" spans="1:14" ht="123.75" x14ac:dyDescent="0.2">
      <c r="A60" s="49">
        <v>37</v>
      </c>
      <c r="B60" s="50" t="s">
        <v>190</v>
      </c>
      <c r="C60" s="50" t="s">
        <v>191</v>
      </c>
      <c r="D60" s="49">
        <v>2.0699999999999998</v>
      </c>
      <c r="E60" s="51" t="s">
        <v>192</v>
      </c>
      <c r="F60" s="51" t="s">
        <v>193</v>
      </c>
      <c r="G60" s="51"/>
      <c r="H60" s="52" t="s">
        <v>194</v>
      </c>
      <c r="I60" s="53">
        <v>40968.22</v>
      </c>
      <c r="J60" s="51">
        <v>18723.46</v>
      </c>
      <c r="K60" s="51" t="s">
        <v>195</v>
      </c>
      <c r="L60" s="51" t="str">
        <f>IF(2.07*0=0," ",TEXT(,ROUND((2.07*0*1),2)))</f>
        <v xml:space="preserve"> </v>
      </c>
      <c r="M60" s="51" t="s">
        <v>196</v>
      </c>
      <c r="N60" s="51" t="s">
        <v>197</v>
      </c>
    </row>
    <row r="61" spans="1:14" ht="101.25" x14ac:dyDescent="0.2">
      <c r="A61" s="49">
        <v>38</v>
      </c>
      <c r="B61" s="50" t="s">
        <v>198</v>
      </c>
      <c r="C61" s="50" t="s">
        <v>199</v>
      </c>
      <c r="D61" s="49">
        <v>0.8</v>
      </c>
      <c r="E61" s="51" t="s">
        <v>200</v>
      </c>
      <c r="F61" s="51">
        <v>21.67</v>
      </c>
      <c r="G61" s="51">
        <v>1275.22</v>
      </c>
      <c r="H61" s="52" t="s">
        <v>201</v>
      </c>
      <c r="I61" s="53">
        <v>10342.74</v>
      </c>
      <c r="J61" s="51">
        <v>5476.26</v>
      </c>
      <c r="K61" s="51">
        <v>163.47999999999999</v>
      </c>
      <c r="L61" s="51" t="str">
        <f>IF(0.8*1275.22=0," ",TEXT(,ROUND((0.8*1275.22*4.61),2)))</f>
        <v>4703.01</v>
      </c>
      <c r="M61" s="51">
        <v>55.16</v>
      </c>
      <c r="N61" s="51">
        <v>44.13</v>
      </c>
    </row>
    <row r="62" spans="1:14" ht="157.5" x14ac:dyDescent="0.2">
      <c r="A62" s="49">
        <v>39</v>
      </c>
      <c r="B62" s="50" t="s">
        <v>202</v>
      </c>
      <c r="C62" s="50" t="s">
        <v>203</v>
      </c>
      <c r="D62" s="49">
        <v>1.7250000000000001</v>
      </c>
      <c r="E62" s="51" t="s">
        <v>204</v>
      </c>
      <c r="F62" s="51" t="s">
        <v>205</v>
      </c>
      <c r="G62" s="51">
        <v>202.72</v>
      </c>
      <c r="H62" s="52" t="s">
        <v>206</v>
      </c>
      <c r="I62" s="53">
        <v>3126.03</v>
      </c>
      <c r="J62" s="51">
        <v>1720.86</v>
      </c>
      <c r="K62" s="51" t="s">
        <v>207</v>
      </c>
      <c r="L62" s="51" t="str">
        <f>IF(1.725*202.72=0," ",TEXT(,ROUND((1.725*202.72*3.42),2)))</f>
        <v>1195.95</v>
      </c>
      <c r="M62" s="51" t="s">
        <v>208</v>
      </c>
      <c r="N62" s="51" t="s">
        <v>209</v>
      </c>
    </row>
    <row r="63" spans="1:14" ht="157.5" x14ac:dyDescent="0.2">
      <c r="A63" s="54">
        <v>40</v>
      </c>
      <c r="B63" s="55" t="s">
        <v>210</v>
      </c>
      <c r="C63" s="55" t="s">
        <v>211</v>
      </c>
      <c r="D63" s="54">
        <v>1.7250000000000001</v>
      </c>
      <c r="E63" s="56" t="s">
        <v>212</v>
      </c>
      <c r="F63" s="56" t="s">
        <v>213</v>
      </c>
      <c r="G63" s="56">
        <v>200.78</v>
      </c>
      <c r="H63" s="57" t="s">
        <v>214</v>
      </c>
      <c r="I63" s="58">
        <v>2561.9699999999998</v>
      </c>
      <c r="J63" s="56">
        <v>794.85</v>
      </c>
      <c r="K63" s="56" t="s">
        <v>215</v>
      </c>
      <c r="L63" s="56" t="str">
        <f>IF(1.725*200.78=0," ",TEXT(,ROUND((1.725*200.78*4.32),2)))</f>
        <v>1496.21</v>
      </c>
      <c r="M63" s="56" t="s">
        <v>216</v>
      </c>
      <c r="N63" s="56" t="s">
        <v>217</v>
      </c>
    </row>
    <row r="64" spans="1:14" ht="33.75" x14ac:dyDescent="0.2">
      <c r="A64" s="66" t="s">
        <v>218</v>
      </c>
      <c r="B64" s="67"/>
      <c r="C64" s="67"/>
      <c r="D64" s="67"/>
      <c r="E64" s="67"/>
      <c r="F64" s="67"/>
      <c r="G64" s="67"/>
      <c r="H64" s="67"/>
      <c r="I64" s="53">
        <v>1226253.08</v>
      </c>
      <c r="J64" s="51">
        <v>259360.97</v>
      </c>
      <c r="K64" s="51" t="s">
        <v>219</v>
      </c>
      <c r="L64" s="51">
        <v>920067.01</v>
      </c>
      <c r="M64" s="51"/>
      <c r="N64" s="51" t="s">
        <v>220</v>
      </c>
    </row>
    <row r="65" spans="1:14" x14ac:dyDescent="0.2">
      <c r="A65" s="66" t="s">
        <v>221</v>
      </c>
      <c r="B65" s="67"/>
      <c r="C65" s="67"/>
      <c r="D65" s="67"/>
      <c r="E65" s="67"/>
      <c r="F65" s="67"/>
      <c r="G65" s="67"/>
      <c r="H65" s="67"/>
      <c r="I65" s="53">
        <v>217200.65</v>
      </c>
      <c r="J65" s="51"/>
      <c r="K65" s="51"/>
      <c r="L65" s="51"/>
      <c r="M65" s="51"/>
      <c r="N65" s="51"/>
    </row>
    <row r="66" spans="1:14" x14ac:dyDescent="0.2">
      <c r="A66" s="66" t="s">
        <v>222</v>
      </c>
      <c r="B66" s="67"/>
      <c r="C66" s="67"/>
      <c r="D66" s="67"/>
      <c r="E66" s="67"/>
      <c r="F66" s="67"/>
      <c r="G66" s="67"/>
      <c r="H66" s="67"/>
      <c r="I66" s="53"/>
      <c r="J66" s="51"/>
      <c r="K66" s="51"/>
      <c r="L66" s="51"/>
      <c r="M66" s="51"/>
      <c r="N66" s="51"/>
    </row>
    <row r="67" spans="1:14" x14ac:dyDescent="0.2">
      <c r="A67" s="66" t="s">
        <v>223</v>
      </c>
      <c r="B67" s="67"/>
      <c r="C67" s="67"/>
      <c r="D67" s="67"/>
      <c r="E67" s="67"/>
      <c r="F67" s="67"/>
      <c r="G67" s="67"/>
      <c r="H67" s="67"/>
      <c r="I67" s="53">
        <v>58723.27</v>
      </c>
      <c r="J67" s="51"/>
      <c r="K67" s="51"/>
      <c r="L67" s="51"/>
      <c r="M67" s="51"/>
      <c r="N67" s="51"/>
    </row>
    <row r="68" spans="1:14" x14ac:dyDescent="0.2">
      <c r="A68" s="66" t="s">
        <v>224</v>
      </c>
      <c r="B68" s="67"/>
      <c r="C68" s="67"/>
      <c r="D68" s="67"/>
      <c r="E68" s="67"/>
      <c r="F68" s="67"/>
      <c r="G68" s="67"/>
      <c r="H68" s="67"/>
      <c r="I68" s="53">
        <v>955.92</v>
      </c>
      <c r="J68" s="51"/>
      <c r="K68" s="51"/>
      <c r="L68" s="51"/>
      <c r="M68" s="51"/>
      <c r="N68" s="51"/>
    </row>
    <row r="69" spans="1:14" x14ac:dyDescent="0.2">
      <c r="A69" s="66" t="s">
        <v>225</v>
      </c>
      <c r="B69" s="67"/>
      <c r="C69" s="67"/>
      <c r="D69" s="67"/>
      <c r="E69" s="67"/>
      <c r="F69" s="67"/>
      <c r="G69" s="67"/>
      <c r="H69" s="67"/>
      <c r="I69" s="53">
        <v>1740.41</v>
      </c>
      <c r="J69" s="51"/>
      <c r="K69" s="51"/>
      <c r="L69" s="51"/>
      <c r="M69" s="51"/>
      <c r="N69" s="51"/>
    </row>
    <row r="70" spans="1:14" x14ac:dyDescent="0.2">
      <c r="A70" s="66" t="s">
        <v>226</v>
      </c>
      <c r="B70" s="67"/>
      <c r="C70" s="67"/>
      <c r="D70" s="67"/>
      <c r="E70" s="67"/>
      <c r="F70" s="67"/>
      <c r="G70" s="67"/>
      <c r="H70" s="67"/>
      <c r="I70" s="53">
        <v>25340.38</v>
      </c>
      <c r="J70" s="51"/>
      <c r="K70" s="51"/>
      <c r="L70" s="51"/>
      <c r="M70" s="51"/>
      <c r="N70" s="51"/>
    </row>
    <row r="71" spans="1:14" x14ac:dyDescent="0.2">
      <c r="A71" s="66" t="s">
        <v>227</v>
      </c>
      <c r="B71" s="67"/>
      <c r="C71" s="67"/>
      <c r="D71" s="67"/>
      <c r="E71" s="67"/>
      <c r="F71" s="67"/>
      <c r="G71" s="67"/>
      <c r="H71" s="67"/>
      <c r="I71" s="53">
        <v>24549.33</v>
      </c>
      <c r="J71" s="51"/>
      <c r="K71" s="51"/>
      <c r="L71" s="51"/>
      <c r="M71" s="51"/>
      <c r="N71" s="51"/>
    </row>
    <row r="72" spans="1:14" x14ac:dyDescent="0.2">
      <c r="A72" s="66" t="s">
        <v>228</v>
      </c>
      <c r="B72" s="67"/>
      <c r="C72" s="67"/>
      <c r="D72" s="67"/>
      <c r="E72" s="67"/>
      <c r="F72" s="67"/>
      <c r="G72" s="67"/>
      <c r="H72" s="67"/>
      <c r="I72" s="53">
        <v>105891.34</v>
      </c>
      <c r="J72" s="51"/>
      <c r="K72" s="51"/>
      <c r="L72" s="51"/>
      <c r="M72" s="51"/>
      <c r="N72" s="51"/>
    </row>
    <row r="73" spans="1:14" x14ac:dyDescent="0.2">
      <c r="A73" s="66" t="s">
        <v>229</v>
      </c>
      <c r="B73" s="67"/>
      <c r="C73" s="67"/>
      <c r="D73" s="67"/>
      <c r="E73" s="67"/>
      <c r="F73" s="67"/>
      <c r="G73" s="67"/>
      <c r="H73" s="67"/>
      <c r="I73" s="53">
        <v>129504.23</v>
      </c>
      <c r="J73" s="51"/>
      <c r="K73" s="51"/>
      <c r="L73" s="51"/>
      <c r="M73" s="51"/>
      <c r="N73" s="51"/>
    </row>
    <row r="74" spans="1:14" x14ac:dyDescent="0.2">
      <c r="A74" s="66" t="s">
        <v>222</v>
      </c>
      <c r="B74" s="67"/>
      <c r="C74" s="67"/>
      <c r="D74" s="67"/>
      <c r="E74" s="67"/>
      <c r="F74" s="67"/>
      <c r="G74" s="67"/>
      <c r="H74" s="67"/>
      <c r="I74" s="53"/>
      <c r="J74" s="51"/>
      <c r="K74" s="51"/>
      <c r="L74" s="51"/>
      <c r="M74" s="51"/>
      <c r="N74" s="51"/>
    </row>
    <row r="75" spans="1:14" x14ac:dyDescent="0.2">
      <c r="A75" s="66" t="s">
        <v>230</v>
      </c>
      <c r="B75" s="67"/>
      <c r="C75" s="67"/>
      <c r="D75" s="67"/>
      <c r="E75" s="67"/>
      <c r="F75" s="67"/>
      <c r="G75" s="67"/>
      <c r="H75" s="67"/>
      <c r="I75" s="53">
        <v>37284.620000000003</v>
      </c>
      <c r="J75" s="51"/>
      <c r="K75" s="51"/>
      <c r="L75" s="51"/>
      <c r="M75" s="51"/>
      <c r="N75" s="51"/>
    </row>
    <row r="76" spans="1:14" x14ac:dyDescent="0.2">
      <c r="A76" s="66" t="s">
        <v>231</v>
      </c>
      <c r="B76" s="67"/>
      <c r="C76" s="67"/>
      <c r="D76" s="67"/>
      <c r="E76" s="67"/>
      <c r="F76" s="67"/>
      <c r="G76" s="67"/>
      <c r="H76" s="67"/>
      <c r="I76" s="53">
        <v>674.76</v>
      </c>
      <c r="J76" s="51"/>
      <c r="K76" s="51"/>
      <c r="L76" s="51"/>
      <c r="M76" s="51"/>
      <c r="N76" s="51"/>
    </row>
    <row r="77" spans="1:14" x14ac:dyDescent="0.2">
      <c r="A77" s="66" t="s">
        <v>232</v>
      </c>
      <c r="B77" s="67"/>
      <c r="C77" s="67"/>
      <c r="D77" s="67"/>
      <c r="E77" s="67"/>
      <c r="F77" s="67"/>
      <c r="G77" s="67"/>
      <c r="H77" s="67"/>
      <c r="I77" s="53">
        <v>31035.51</v>
      </c>
      <c r="J77" s="51"/>
      <c r="K77" s="51"/>
      <c r="L77" s="51"/>
      <c r="M77" s="51"/>
      <c r="N77" s="51"/>
    </row>
    <row r="78" spans="1:14" x14ac:dyDescent="0.2">
      <c r="A78" s="66" t="s">
        <v>233</v>
      </c>
      <c r="B78" s="67"/>
      <c r="C78" s="67"/>
      <c r="D78" s="67"/>
      <c r="E78" s="67"/>
      <c r="F78" s="67"/>
      <c r="G78" s="67"/>
      <c r="H78" s="67"/>
      <c r="I78" s="53">
        <v>60509.34</v>
      </c>
      <c r="J78" s="51"/>
      <c r="K78" s="51"/>
      <c r="L78" s="51"/>
      <c r="M78" s="51"/>
      <c r="N78" s="51"/>
    </row>
    <row r="79" spans="1:14" x14ac:dyDescent="0.2">
      <c r="A79" s="90" t="s">
        <v>234</v>
      </c>
      <c r="B79" s="63"/>
      <c r="C79" s="63"/>
      <c r="D79" s="63"/>
      <c r="E79" s="63"/>
      <c r="F79" s="63"/>
      <c r="G79" s="63"/>
      <c r="H79" s="63"/>
      <c r="I79" s="53"/>
      <c r="J79" s="51"/>
      <c r="K79" s="51"/>
      <c r="L79" s="51"/>
      <c r="M79" s="51"/>
      <c r="N79" s="51"/>
    </row>
    <row r="80" spans="1:14" ht="33.75" x14ac:dyDescent="0.2">
      <c r="A80" s="66" t="s">
        <v>235</v>
      </c>
      <c r="B80" s="67"/>
      <c r="C80" s="67"/>
      <c r="D80" s="67"/>
      <c r="E80" s="67"/>
      <c r="F80" s="67"/>
      <c r="G80" s="67"/>
      <c r="H80" s="67"/>
      <c r="I80" s="53">
        <v>1566522.16</v>
      </c>
      <c r="J80" s="51"/>
      <c r="K80" s="51"/>
      <c r="L80" s="51"/>
      <c r="M80" s="51"/>
      <c r="N80" s="51" t="s">
        <v>236</v>
      </c>
    </row>
    <row r="81" spans="1:14" ht="22.5" x14ac:dyDescent="0.2">
      <c r="A81" s="66" t="s">
        <v>237</v>
      </c>
      <c r="B81" s="67"/>
      <c r="C81" s="67"/>
      <c r="D81" s="67"/>
      <c r="E81" s="67"/>
      <c r="F81" s="67"/>
      <c r="G81" s="67"/>
      <c r="H81" s="67"/>
      <c r="I81" s="53">
        <v>6435.8</v>
      </c>
      <c r="J81" s="51"/>
      <c r="K81" s="51"/>
      <c r="L81" s="51"/>
      <c r="M81" s="51"/>
      <c r="N81" s="51" t="s">
        <v>130</v>
      </c>
    </row>
    <row r="82" spans="1:14" ht="33.75" x14ac:dyDescent="0.2">
      <c r="A82" s="66" t="s">
        <v>238</v>
      </c>
      <c r="B82" s="67"/>
      <c r="C82" s="67"/>
      <c r="D82" s="67"/>
      <c r="E82" s="67"/>
      <c r="F82" s="67"/>
      <c r="G82" s="67"/>
      <c r="H82" s="67"/>
      <c r="I82" s="53">
        <v>1572957.96</v>
      </c>
      <c r="J82" s="51"/>
      <c r="K82" s="51"/>
      <c r="L82" s="51"/>
      <c r="M82" s="51"/>
      <c r="N82" s="51" t="s">
        <v>220</v>
      </c>
    </row>
    <row r="83" spans="1:14" x14ac:dyDescent="0.2">
      <c r="A83" s="66" t="s">
        <v>239</v>
      </c>
      <c r="B83" s="67"/>
      <c r="C83" s="67"/>
      <c r="D83" s="67"/>
      <c r="E83" s="67"/>
      <c r="F83" s="67"/>
      <c r="G83" s="67"/>
      <c r="H83" s="67"/>
      <c r="I83" s="53"/>
      <c r="J83" s="51"/>
      <c r="K83" s="51"/>
      <c r="L83" s="51"/>
      <c r="M83" s="51"/>
      <c r="N83" s="51"/>
    </row>
    <row r="84" spans="1:14" x14ac:dyDescent="0.2">
      <c r="A84" s="66" t="s">
        <v>240</v>
      </c>
      <c r="B84" s="67"/>
      <c r="C84" s="67"/>
      <c r="D84" s="67"/>
      <c r="E84" s="67"/>
      <c r="F84" s="67"/>
      <c r="G84" s="67"/>
      <c r="H84" s="67"/>
      <c r="I84" s="53">
        <v>920067.01</v>
      </c>
      <c r="J84" s="51"/>
      <c r="K84" s="51"/>
      <c r="L84" s="51"/>
      <c r="M84" s="51"/>
      <c r="N84" s="51"/>
    </row>
    <row r="85" spans="1:14" x14ac:dyDescent="0.2">
      <c r="A85" s="66" t="s">
        <v>241</v>
      </c>
      <c r="B85" s="67"/>
      <c r="C85" s="67"/>
      <c r="D85" s="67"/>
      <c r="E85" s="67"/>
      <c r="F85" s="67"/>
      <c r="G85" s="67"/>
      <c r="H85" s="67"/>
      <c r="I85" s="53">
        <v>46825.1</v>
      </c>
      <c r="J85" s="51"/>
      <c r="K85" s="51"/>
      <c r="L85" s="51"/>
      <c r="M85" s="51"/>
      <c r="N85" s="51"/>
    </row>
    <row r="86" spans="1:14" x14ac:dyDescent="0.2">
      <c r="A86" s="66" t="s">
        <v>242</v>
      </c>
      <c r="B86" s="67"/>
      <c r="C86" s="67"/>
      <c r="D86" s="67"/>
      <c r="E86" s="67"/>
      <c r="F86" s="67"/>
      <c r="G86" s="67"/>
      <c r="H86" s="67"/>
      <c r="I86" s="53">
        <v>267326.99</v>
      </c>
      <c r="J86" s="51"/>
      <c r="K86" s="51"/>
      <c r="L86" s="51"/>
      <c r="M86" s="51"/>
      <c r="N86" s="51"/>
    </row>
    <row r="87" spans="1:14" x14ac:dyDescent="0.2">
      <c r="A87" s="66" t="s">
        <v>243</v>
      </c>
      <c r="B87" s="67"/>
      <c r="C87" s="67"/>
      <c r="D87" s="67"/>
      <c r="E87" s="67"/>
      <c r="F87" s="67"/>
      <c r="G87" s="67"/>
      <c r="H87" s="67"/>
      <c r="I87" s="53">
        <v>217200.65</v>
      </c>
      <c r="J87" s="51"/>
      <c r="K87" s="51"/>
      <c r="L87" s="51"/>
      <c r="M87" s="51"/>
      <c r="N87" s="51"/>
    </row>
    <row r="88" spans="1:14" x14ac:dyDescent="0.2">
      <c r="A88" s="66" t="s">
        <v>244</v>
      </c>
      <c r="B88" s="67"/>
      <c r="C88" s="67"/>
      <c r="D88" s="67"/>
      <c r="E88" s="67"/>
      <c r="F88" s="67"/>
      <c r="G88" s="67"/>
      <c r="H88" s="67"/>
      <c r="I88" s="53">
        <v>129504.23</v>
      </c>
      <c r="J88" s="51"/>
      <c r="K88" s="51"/>
      <c r="L88" s="51"/>
      <c r="M88" s="51"/>
      <c r="N88" s="51"/>
    </row>
    <row r="89" spans="1:14" ht="33.75" x14ac:dyDescent="0.2">
      <c r="A89" s="88" t="s">
        <v>245</v>
      </c>
      <c r="B89" s="89"/>
      <c r="C89" s="89"/>
      <c r="D89" s="89"/>
      <c r="E89" s="89"/>
      <c r="F89" s="89"/>
      <c r="G89" s="89"/>
      <c r="H89" s="89"/>
      <c r="I89" s="58">
        <v>1572957.96</v>
      </c>
      <c r="J89" s="56"/>
      <c r="K89" s="56"/>
      <c r="L89" s="56"/>
      <c r="M89" s="56"/>
      <c r="N89" s="56" t="s">
        <v>220</v>
      </c>
    </row>
    <row r="90" spans="1:14" ht="17.850000000000001" customHeight="1" x14ac:dyDescent="0.2">
      <c r="A90" s="62" t="s">
        <v>246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7.850000000000001" customHeight="1" x14ac:dyDescent="0.2">
      <c r="A91" s="64" t="s">
        <v>27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56.25" x14ac:dyDescent="0.2">
      <c r="A92" s="49">
        <v>41</v>
      </c>
      <c r="B92" s="50" t="s">
        <v>247</v>
      </c>
      <c r="C92" s="50" t="s">
        <v>248</v>
      </c>
      <c r="D92" s="49">
        <v>0.01</v>
      </c>
      <c r="E92" s="51" t="s">
        <v>249</v>
      </c>
      <c r="F92" s="51"/>
      <c r="G92" s="51"/>
      <c r="H92" s="52" t="s">
        <v>250</v>
      </c>
      <c r="I92" s="53">
        <v>1240.06</v>
      </c>
      <c r="J92" s="51">
        <v>1240.06</v>
      </c>
      <c r="K92" s="51"/>
      <c r="L92" s="51" t="str">
        <f>IF(0.01*0=0," ",TEXT(,ROUND((0.01*0*1),2)))</f>
        <v xml:space="preserve"> </v>
      </c>
      <c r="M92" s="51">
        <v>912.4</v>
      </c>
      <c r="N92" s="51">
        <v>9.1199999999999992</v>
      </c>
    </row>
    <row r="93" spans="1:14" ht="17.850000000000001" customHeight="1" x14ac:dyDescent="0.2">
      <c r="A93" s="64" t="s">
        <v>51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80" x14ac:dyDescent="0.2">
      <c r="A94" s="49">
        <v>42</v>
      </c>
      <c r="B94" s="50" t="s">
        <v>251</v>
      </c>
      <c r="C94" s="50" t="s">
        <v>252</v>
      </c>
      <c r="D94" s="49">
        <v>0.2</v>
      </c>
      <c r="E94" s="51" t="s">
        <v>253</v>
      </c>
      <c r="F94" s="51" t="s">
        <v>254</v>
      </c>
      <c r="G94" s="51">
        <v>5353.21</v>
      </c>
      <c r="H94" s="52" t="s">
        <v>255</v>
      </c>
      <c r="I94" s="53">
        <v>7422.21</v>
      </c>
      <c r="J94" s="51">
        <v>2484.84</v>
      </c>
      <c r="K94" s="51" t="s">
        <v>256</v>
      </c>
      <c r="L94" s="51" t="str">
        <f>IF(0.2*5353.21=0," ",TEXT(,ROUND((0.2*5353.21*4.25),2)))</f>
        <v>4550.23</v>
      </c>
      <c r="M94" s="51" t="s">
        <v>257</v>
      </c>
      <c r="N94" s="51" t="s">
        <v>258</v>
      </c>
    </row>
    <row r="95" spans="1:14" ht="180" x14ac:dyDescent="0.2">
      <c r="A95" s="49">
        <v>43</v>
      </c>
      <c r="B95" s="50" t="s">
        <v>259</v>
      </c>
      <c r="C95" s="50" t="s">
        <v>260</v>
      </c>
      <c r="D95" s="49">
        <v>0.06</v>
      </c>
      <c r="E95" s="51" t="s">
        <v>261</v>
      </c>
      <c r="F95" s="51" t="s">
        <v>262</v>
      </c>
      <c r="G95" s="51">
        <v>4156.74</v>
      </c>
      <c r="H95" s="52" t="s">
        <v>263</v>
      </c>
      <c r="I95" s="53">
        <v>1741.12</v>
      </c>
      <c r="J95" s="51">
        <v>628.41</v>
      </c>
      <c r="K95" s="51" t="s">
        <v>264</v>
      </c>
      <c r="L95" s="51" t="str">
        <f>IF(0.06*4156.74=0," ",TEXT(,ROUND((0.06*4156.74*4.08),2)))</f>
        <v>1017.57</v>
      </c>
      <c r="M95" s="51" t="s">
        <v>265</v>
      </c>
      <c r="N95" s="51" t="s">
        <v>266</v>
      </c>
    </row>
    <row r="96" spans="1:14" ht="180" x14ac:dyDescent="0.2">
      <c r="A96" s="49">
        <v>44</v>
      </c>
      <c r="B96" s="50" t="s">
        <v>267</v>
      </c>
      <c r="C96" s="50" t="s">
        <v>268</v>
      </c>
      <c r="D96" s="49">
        <v>0.04</v>
      </c>
      <c r="E96" s="51" t="s">
        <v>269</v>
      </c>
      <c r="F96" s="51" t="s">
        <v>262</v>
      </c>
      <c r="G96" s="51">
        <v>3201.32</v>
      </c>
      <c r="H96" s="52" t="s">
        <v>270</v>
      </c>
      <c r="I96" s="53">
        <v>767.93</v>
      </c>
      <c r="J96" s="51">
        <v>418.94</v>
      </c>
      <c r="K96" s="51" t="s">
        <v>271</v>
      </c>
      <c r="L96" s="51" t="str">
        <f>IF(0.04*3201.32=0," ",TEXT(,ROUND((0.04*3201.32*2.23),2)))</f>
        <v>285.56</v>
      </c>
      <c r="M96" s="51" t="s">
        <v>265</v>
      </c>
      <c r="N96" s="51" t="s">
        <v>272</v>
      </c>
    </row>
    <row r="97" spans="1:14" ht="180" x14ac:dyDescent="0.2">
      <c r="A97" s="49">
        <v>45</v>
      </c>
      <c r="B97" s="50" t="s">
        <v>273</v>
      </c>
      <c r="C97" s="50" t="s">
        <v>274</v>
      </c>
      <c r="D97" s="49">
        <v>0.01</v>
      </c>
      <c r="E97" s="51" t="s">
        <v>275</v>
      </c>
      <c r="F97" s="51" t="s">
        <v>276</v>
      </c>
      <c r="G97" s="51">
        <v>7335.38</v>
      </c>
      <c r="H97" s="52" t="s">
        <v>277</v>
      </c>
      <c r="I97" s="53">
        <v>559.16</v>
      </c>
      <c r="J97" s="51">
        <v>98.87</v>
      </c>
      <c r="K97" s="51" t="s">
        <v>278</v>
      </c>
      <c r="L97" s="51" t="str">
        <f>IF(0.01*7335.38=0," ",TEXT(,ROUND((0.01*7335.38*6.05),2)))</f>
        <v>443.79</v>
      </c>
      <c r="M97" s="51" t="s">
        <v>279</v>
      </c>
      <c r="N97" s="51">
        <v>0.7</v>
      </c>
    </row>
    <row r="98" spans="1:14" ht="180" x14ac:dyDescent="0.2">
      <c r="A98" s="49">
        <v>46</v>
      </c>
      <c r="B98" s="50" t="s">
        <v>280</v>
      </c>
      <c r="C98" s="50" t="s">
        <v>281</v>
      </c>
      <c r="D98" s="49">
        <v>0.06</v>
      </c>
      <c r="E98" s="51" t="s">
        <v>282</v>
      </c>
      <c r="F98" s="51" t="s">
        <v>283</v>
      </c>
      <c r="G98" s="51">
        <v>5001.6000000000004</v>
      </c>
      <c r="H98" s="52" t="s">
        <v>284</v>
      </c>
      <c r="I98" s="53">
        <v>2210.4</v>
      </c>
      <c r="J98" s="51">
        <v>377.46</v>
      </c>
      <c r="K98" s="51" t="s">
        <v>285</v>
      </c>
      <c r="L98" s="51" t="str">
        <f>IF(0.06*5001.6=0," ",TEXT(,ROUND((0.06*5001.6*5.97),2)))</f>
        <v>1791.57</v>
      </c>
      <c r="M98" s="51" t="s">
        <v>286</v>
      </c>
      <c r="N98" s="51" t="s">
        <v>287</v>
      </c>
    </row>
    <row r="99" spans="1:14" ht="180" x14ac:dyDescent="0.2">
      <c r="A99" s="49">
        <v>47</v>
      </c>
      <c r="B99" s="50" t="s">
        <v>288</v>
      </c>
      <c r="C99" s="50" t="s">
        <v>289</v>
      </c>
      <c r="D99" s="49">
        <v>0.03</v>
      </c>
      <c r="E99" s="51" t="s">
        <v>290</v>
      </c>
      <c r="F99" s="51" t="s">
        <v>283</v>
      </c>
      <c r="G99" s="51">
        <v>4319.0600000000004</v>
      </c>
      <c r="H99" s="52" t="s">
        <v>291</v>
      </c>
      <c r="I99" s="53">
        <v>963.52</v>
      </c>
      <c r="J99" s="51">
        <v>188.73</v>
      </c>
      <c r="K99" s="51" t="s">
        <v>292</v>
      </c>
      <c r="L99" s="51" t="str">
        <f>IF(0.03*4319.06=0," ",TEXT(,ROUND((0.03*4319.06*5.82),2)))</f>
        <v>754.11</v>
      </c>
      <c r="M99" s="51" t="s">
        <v>286</v>
      </c>
      <c r="N99" s="51" t="s">
        <v>293</v>
      </c>
    </row>
    <row r="100" spans="1:14" ht="180" x14ac:dyDescent="0.2">
      <c r="A100" s="49">
        <v>48</v>
      </c>
      <c r="B100" s="50" t="s">
        <v>294</v>
      </c>
      <c r="C100" s="50" t="s">
        <v>295</v>
      </c>
      <c r="D100" s="49">
        <v>0.01</v>
      </c>
      <c r="E100" s="51" t="s">
        <v>296</v>
      </c>
      <c r="F100" s="51" t="s">
        <v>283</v>
      </c>
      <c r="G100" s="51">
        <v>2856.9</v>
      </c>
      <c r="H100" s="52" t="s">
        <v>297</v>
      </c>
      <c r="I100" s="53">
        <v>224.08</v>
      </c>
      <c r="J100" s="51">
        <v>62.91</v>
      </c>
      <c r="K100" s="51" t="s">
        <v>298</v>
      </c>
      <c r="L100" s="51" t="str">
        <f>IF(0.01*2856.9=0," ",TEXT(,ROUND((0.01*2856.9*5.4),2)))</f>
        <v>154.27</v>
      </c>
      <c r="M100" s="51" t="s">
        <v>286</v>
      </c>
      <c r="N100" s="51">
        <v>0.43</v>
      </c>
    </row>
    <row r="101" spans="1:14" ht="191.25" x14ac:dyDescent="0.2">
      <c r="A101" s="49">
        <v>49</v>
      </c>
      <c r="B101" s="50" t="s">
        <v>154</v>
      </c>
      <c r="C101" s="50" t="s">
        <v>155</v>
      </c>
      <c r="D101" s="49">
        <v>0.21</v>
      </c>
      <c r="E101" s="51" t="s">
        <v>156</v>
      </c>
      <c r="F101" s="51">
        <v>55.64</v>
      </c>
      <c r="G101" s="51">
        <v>11.11</v>
      </c>
      <c r="H101" s="52" t="s">
        <v>157</v>
      </c>
      <c r="I101" s="53">
        <v>247.52</v>
      </c>
      <c r="J101" s="51">
        <v>216.05</v>
      </c>
      <c r="K101" s="51">
        <v>8.41</v>
      </c>
      <c r="L101" s="51" t="str">
        <f>IF(0.21*11.11=0," ",TEXT(,ROUND((0.21*11.11*9.88),2)))</f>
        <v>23.05</v>
      </c>
      <c r="M101" s="51">
        <v>5.76</v>
      </c>
      <c r="N101" s="51">
        <v>1.21</v>
      </c>
    </row>
    <row r="102" spans="1:14" ht="191.25" x14ac:dyDescent="0.2">
      <c r="A102" s="49">
        <v>50</v>
      </c>
      <c r="B102" s="50" t="s">
        <v>158</v>
      </c>
      <c r="C102" s="50" t="s">
        <v>159</v>
      </c>
      <c r="D102" s="49">
        <v>0.2</v>
      </c>
      <c r="E102" s="51" t="s">
        <v>160</v>
      </c>
      <c r="F102" s="51">
        <v>55.64</v>
      </c>
      <c r="G102" s="51">
        <v>4.28</v>
      </c>
      <c r="H102" s="52" t="s">
        <v>161</v>
      </c>
      <c r="I102" s="53">
        <v>220.05</v>
      </c>
      <c r="J102" s="51">
        <v>205.76</v>
      </c>
      <c r="K102" s="51">
        <v>8.01</v>
      </c>
      <c r="L102" s="51" t="str">
        <f>IF(0.2*4.28=0," ",TEXT(,ROUND((0.2*4.28*7.33),2)))</f>
        <v>6.27</v>
      </c>
      <c r="M102" s="51">
        <v>5.76</v>
      </c>
      <c r="N102" s="51">
        <v>1.1499999999999999</v>
      </c>
    </row>
    <row r="103" spans="1:14" ht="56.25" x14ac:dyDescent="0.2">
      <c r="A103" s="49">
        <v>51</v>
      </c>
      <c r="B103" s="50" t="s">
        <v>162</v>
      </c>
      <c r="C103" s="50" t="s">
        <v>163</v>
      </c>
      <c r="D103" s="49">
        <v>75</v>
      </c>
      <c r="E103" s="51">
        <v>11.98</v>
      </c>
      <c r="F103" s="51"/>
      <c r="G103" s="51">
        <v>11.98</v>
      </c>
      <c r="H103" s="52" t="s">
        <v>164</v>
      </c>
      <c r="I103" s="53">
        <v>2935.5</v>
      </c>
      <c r="J103" s="51"/>
      <c r="K103" s="51"/>
      <c r="L103" s="51" t="str">
        <f>IF(75*11.98=0," ",TEXT(,ROUND((75*11.98*3.267),2)))</f>
        <v>2935.4</v>
      </c>
      <c r="M103" s="51"/>
      <c r="N103" s="51"/>
    </row>
    <row r="104" spans="1:14" ht="67.5" x14ac:dyDescent="0.2">
      <c r="A104" s="49">
        <v>52</v>
      </c>
      <c r="B104" s="50" t="s">
        <v>108</v>
      </c>
      <c r="C104" s="50" t="s">
        <v>299</v>
      </c>
      <c r="D104" s="49">
        <v>2</v>
      </c>
      <c r="E104" s="51">
        <v>105.76</v>
      </c>
      <c r="F104" s="51"/>
      <c r="G104" s="51">
        <v>105.76</v>
      </c>
      <c r="H104" s="52" t="s">
        <v>110</v>
      </c>
      <c r="I104" s="53">
        <v>1066.06</v>
      </c>
      <c r="J104" s="51"/>
      <c r="K104" s="51"/>
      <c r="L104" s="51" t="str">
        <f>IF(2*105.76=0," ",TEXT(,ROUND((2*105.76*5.04),2)))</f>
        <v>1066.06</v>
      </c>
      <c r="M104" s="51"/>
      <c r="N104" s="51"/>
    </row>
    <row r="105" spans="1:14" ht="67.5" x14ac:dyDescent="0.2">
      <c r="A105" s="49">
        <v>53</v>
      </c>
      <c r="B105" s="50" t="s">
        <v>108</v>
      </c>
      <c r="C105" s="50" t="s">
        <v>300</v>
      </c>
      <c r="D105" s="49">
        <v>3</v>
      </c>
      <c r="E105" s="51">
        <v>69.61</v>
      </c>
      <c r="F105" s="51"/>
      <c r="G105" s="51">
        <v>69.61</v>
      </c>
      <c r="H105" s="52" t="s">
        <v>110</v>
      </c>
      <c r="I105" s="53">
        <v>1052.49</v>
      </c>
      <c r="J105" s="51"/>
      <c r="K105" s="51"/>
      <c r="L105" s="51" t="str">
        <f>IF(3*69.61=0," ",TEXT(,ROUND((3*69.61*5.04),2)))</f>
        <v>1052.5</v>
      </c>
      <c r="M105" s="51"/>
      <c r="N105" s="51"/>
    </row>
    <row r="106" spans="1:14" ht="56.25" x14ac:dyDescent="0.2">
      <c r="A106" s="49">
        <v>54</v>
      </c>
      <c r="B106" s="50" t="s">
        <v>98</v>
      </c>
      <c r="C106" s="50" t="s">
        <v>99</v>
      </c>
      <c r="D106" s="49">
        <v>6</v>
      </c>
      <c r="E106" s="51">
        <v>120.2</v>
      </c>
      <c r="F106" s="51"/>
      <c r="G106" s="51">
        <v>120.2</v>
      </c>
      <c r="H106" s="52" t="s">
        <v>100</v>
      </c>
      <c r="I106" s="53">
        <v>1401.3</v>
      </c>
      <c r="J106" s="51"/>
      <c r="K106" s="51"/>
      <c r="L106" s="51" t="str">
        <f>IF(6*120.2=0," ",TEXT(,ROUND((6*120.2*1.943),2)))</f>
        <v>1401.29</v>
      </c>
      <c r="M106" s="51"/>
      <c r="N106" s="51"/>
    </row>
    <row r="107" spans="1:14" ht="56.25" x14ac:dyDescent="0.2">
      <c r="A107" s="49">
        <v>55</v>
      </c>
      <c r="B107" s="50" t="s">
        <v>105</v>
      </c>
      <c r="C107" s="50" t="s">
        <v>106</v>
      </c>
      <c r="D107" s="49">
        <v>5</v>
      </c>
      <c r="E107" s="51">
        <v>53.8</v>
      </c>
      <c r="F107" s="51"/>
      <c r="G107" s="51">
        <v>53.8</v>
      </c>
      <c r="H107" s="52" t="s">
        <v>107</v>
      </c>
      <c r="I107" s="53">
        <v>484.2</v>
      </c>
      <c r="J107" s="51"/>
      <c r="K107" s="51"/>
      <c r="L107" s="51" t="str">
        <f>IF(5*53.8=0," ",TEXT(,ROUND((5*53.8*1.8),2)))</f>
        <v>484.2</v>
      </c>
      <c r="M107" s="51"/>
      <c r="N107" s="51"/>
    </row>
    <row r="108" spans="1:14" ht="67.5" x14ac:dyDescent="0.2">
      <c r="A108" s="49">
        <v>56</v>
      </c>
      <c r="B108" s="50" t="s">
        <v>108</v>
      </c>
      <c r="C108" s="50" t="s">
        <v>301</v>
      </c>
      <c r="D108" s="49">
        <v>31</v>
      </c>
      <c r="E108" s="51">
        <v>35.65</v>
      </c>
      <c r="F108" s="51"/>
      <c r="G108" s="51">
        <v>35.65</v>
      </c>
      <c r="H108" s="52" t="s">
        <v>110</v>
      </c>
      <c r="I108" s="53">
        <v>5570.08</v>
      </c>
      <c r="J108" s="51"/>
      <c r="K108" s="51"/>
      <c r="L108" s="51" t="str">
        <f>IF(31*35.65=0," ",TEXT(,ROUND((31*35.65*5.04),2)))</f>
        <v>5569.96</v>
      </c>
      <c r="M108" s="51"/>
      <c r="N108" s="51"/>
    </row>
    <row r="109" spans="1:14" ht="157.5" x14ac:dyDescent="0.2">
      <c r="A109" s="49">
        <v>57</v>
      </c>
      <c r="B109" s="50" t="s">
        <v>302</v>
      </c>
      <c r="C109" s="50" t="s">
        <v>303</v>
      </c>
      <c r="D109" s="49">
        <v>1</v>
      </c>
      <c r="E109" s="51" t="s">
        <v>304</v>
      </c>
      <c r="F109" s="51" t="s">
        <v>305</v>
      </c>
      <c r="G109" s="51">
        <v>1032.5899999999999</v>
      </c>
      <c r="H109" s="52" t="s">
        <v>306</v>
      </c>
      <c r="I109" s="53">
        <v>6931.62</v>
      </c>
      <c r="J109" s="51">
        <v>639.13</v>
      </c>
      <c r="K109" s="51" t="s">
        <v>307</v>
      </c>
      <c r="L109" s="51" t="str">
        <f>IF(1*1032.59=0," ",TEXT(,ROUND((1*1032.59*5.97),2)))</f>
        <v>6164.56</v>
      </c>
      <c r="M109" s="51" t="s">
        <v>308</v>
      </c>
      <c r="N109" s="51" t="s">
        <v>308</v>
      </c>
    </row>
    <row r="110" spans="1:14" ht="146.25" x14ac:dyDescent="0.2">
      <c r="A110" s="49">
        <v>58</v>
      </c>
      <c r="B110" s="50" t="s">
        <v>309</v>
      </c>
      <c r="C110" s="50" t="s">
        <v>310</v>
      </c>
      <c r="D110" s="49">
        <v>2</v>
      </c>
      <c r="E110" s="51" t="s">
        <v>311</v>
      </c>
      <c r="F110" s="51" t="s">
        <v>312</v>
      </c>
      <c r="G110" s="51">
        <v>83.08</v>
      </c>
      <c r="H110" s="52" t="s">
        <v>313</v>
      </c>
      <c r="I110" s="53">
        <v>1376.02</v>
      </c>
      <c r="J110" s="51">
        <v>557.1</v>
      </c>
      <c r="K110" s="51" t="s">
        <v>314</v>
      </c>
      <c r="L110" s="51" t="str">
        <f>IF(2*83.08=0," ",TEXT(,ROUND((2*83.08*3.71),2)))</f>
        <v>616.45</v>
      </c>
      <c r="M110" s="51" t="s">
        <v>315</v>
      </c>
      <c r="N110" s="51" t="s">
        <v>316</v>
      </c>
    </row>
    <row r="111" spans="1:14" ht="90" x14ac:dyDescent="0.2">
      <c r="A111" s="49">
        <v>59</v>
      </c>
      <c r="B111" s="50" t="s">
        <v>317</v>
      </c>
      <c r="C111" s="50" t="s">
        <v>318</v>
      </c>
      <c r="D111" s="49">
        <v>-2</v>
      </c>
      <c r="E111" s="51">
        <v>60.7</v>
      </c>
      <c r="F111" s="51"/>
      <c r="G111" s="51">
        <v>60.7</v>
      </c>
      <c r="H111" s="52" t="s">
        <v>319</v>
      </c>
      <c r="I111" s="53">
        <v>-461.2</v>
      </c>
      <c r="J111" s="51"/>
      <c r="K111" s="51"/>
      <c r="L111" s="51" t="str">
        <f>IF(-2*60.7=0," ",TEXT(,ROUND((-2*60.7*3.799),2)))</f>
        <v>-461.2</v>
      </c>
      <c r="M111" s="51"/>
      <c r="N111" s="51"/>
    </row>
    <row r="112" spans="1:14" ht="67.5" x14ac:dyDescent="0.2">
      <c r="A112" s="49">
        <v>60</v>
      </c>
      <c r="B112" s="50" t="s">
        <v>320</v>
      </c>
      <c r="C112" s="50" t="s">
        <v>321</v>
      </c>
      <c r="D112" s="49">
        <v>2</v>
      </c>
      <c r="E112" s="51">
        <v>46.58</v>
      </c>
      <c r="F112" s="51"/>
      <c r="G112" s="51">
        <v>46.58</v>
      </c>
      <c r="H112" s="52" t="s">
        <v>110</v>
      </c>
      <c r="I112" s="53">
        <v>469.52</v>
      </c>
      <c r="J112" s="51"/>
      <c r="K112" s="51"/>
      <c r="L112" s="51" t="str">
        <f>IF(2*46.58=0," ",TEXT(,ROUND((2*46.58*5.04),2)))</f>
        <v>469.53</v>
      </c>
      <c r="M112" s="51"/>
      <c r="N112" s="51"/>
    </row>
    <row r="113" spans="1:14" ht="146.25" x14ac:dyDescent="0.2">
      <c r="A113" s="49">
        <v>61</v>
      </c>
      <c r="B113" s="50" t="s">
        <v>322</v>
      </c>
      <c r="C113" s="50" t="s">
        <v>323</v>
      </c>
      <c r="D113" s="49">
        <v>18</v>
      </c>
      <c r="E113" s="51" t="s">
        <v>324</v>
      </c>
      <c r="F113" s="51"/>
      <c r="G113" s="51">
        <v>224.54</v>
      </c>
      <c r="H113" s="52" t="s">
        <v>325</v>
      </c>
      <c r="I113" s="53">
        <v>7118.64</v>
      </c>
      <c r="J113" s="51">
        <v>692.28</v>
      </c>
      <c r="K113" s="51"/>
      <c r="L113" s="51" t="str">
        <f>IF(18*224.54=0," ",TEXT(,ROUND((18*224.54*1.59),2)))</f>
        <v>6426.33</v>
      </c>
      <c r="M113" s="51">
        <v>0.25</v>
      </c>
      <c r="N113" s="51">
        <v>4.5</v>
      </c>
    </row>
    <row r="114" spans="1:14" ht="112.5" x14ac:dyDescent="0.2">
      <c r="A114" s="49">
        <v>62</v>
      </c>
      <c r="B114" s="50" t="s">
        <v>326</v>
      </c>
      <c r="C114" s="50" t="s">
        <v>327</v>
      </c>
      <c r="D114" s="49">
        <v>-18</v>
      </c>
      <c r="E114" s="51">
        <v>223.7</v>
      </c>
      <c r="F114" s="51"/>
      <c r="G114" s="51">
        <v>223.7</v>
      </c>
      <c r="H114" s="52" t="s">
        <v>328</v>
      </c>
      <c r="I114" s="53">
        <v>-6386.22</v>
      </c>
      <c r="J114" s="51"/>
      <c r="K114" s="51"/>
      <c r="L114" s="51" t="str">
        <f>IF(-18*223.7=0," ",TEXT(,ROUND((-18*223.7*1.586),2)))</f>
        <v>-6386.19</v>
      </c>
      <c r="M114" s="51"/>
      <c r="N114" s="51"/>
    </row>
    <row r="115" spans="1:14" ht="56.25" x14ac:dyDescent="0.2">
      <c r="A115" s="49">
        <v>63</v>
      </c>
      <c r="B115" s="50" t="s">
        <v>108</v>
      </c>
      <c r="C115" s="50" t="s">
        <v>329</v>
      </c>
      <c r="D115" s="49">
        <v>2</v>
      </c>
      <c r="E115" s="51">
        <v>71.290000000000006</v>
      </c>
      <c r="F115" s="51"/>
      <c r="G115" s="51">
        <v>71.290000000000006</v>
      </c>
      <c r="H115" s="52" t="s">
        <v>110</v>
      </c>
      <c r="I115" s="53">
        <v>718.6</v>
      </c>
      <c r="J115" s="51"/>
      <c r="K115" s="51"/>
      <c r="L115" s="51" t="str">
        <f>IF(2*71.29=0," ",TEXT(,ROUND((2*71.29*5.04),2)))</f>
        <v>718.6</v>
      </c>
      <c r="M115" s="51"/>
      <c r="N115" s="51"/>
    </row>
    <row r="116" spans="1:14" ht="56.25" x14ac:dyDescent="0.2">
      <c r="A116" s="49">
        <v>64</v>
      </c>
      <c r="B116" s="50" t="s">
        <v>108</v>
      </c>
      <c r="C116" s="50" t="s">
        <v>330</v>
      </c>
      <c r="D116" s="49">
        <v>16</v>
      </c>
      <c r="E116" s="51">
        <v>71.290000000000006</v>
      </c>
      <c r="F116" s="51"/>
      <c r="G116" s="51">
        <v>71.290000000000006</v>
      </c>
      <c r="H116" s="52" t="s">
        <v>110</v>
      </c>
      <c r="I116" s="53">
        <v>5748.8</v>
      </c>
      <c r="J116" s="51"/>
      <c r="K116" s="51"/>
      <c r="L116" s="51" t="str">
        <f>IF(16*71.29=0," ",TEXT(,ROUND((16*71.29*5.04),2)))</f>
        <v>5748.83</v>
      </c>
      <c r="M116" s="51"/>
      <c r="N116" s="51"/>
    </row>
    <row r="117" spans="1:14" ht="146.25" x14ac:dyDescent="0.2">
      <c r="A117" s="49">
        <v>65</v>
      </c>
      <c r="B117" s="50" t="s">
        <v>331</v>
      </c>
      <c r="C117" s="50" t="s">
        <v>332</v>
      </c>
      <c r="D117" s="49">
        <v>9</v>
      </c>
      <c r="E117" s="51" t="s">
        <v>333</v>
      </c>
      <c r="F117" s="51"/>
      <c r="G117" s="51">
        <v>335.96</v>
      </c>
      <c r="H117" s="52" t="s">
        <v>334</v>
      </c>
      <c r="I117" s="53">
        <v>3636.81</v>
      </c>
      <c r="J117" s="51">
        <v>462.06</v>
      </c>
      <c r="K117" s="51"/>
      <c r="L117" s="51" t="str">
        <f>IF(9*335.96=0," ",TEXT(,ROUND((9*335.96*1.05),2)))</f>
        <v>3174.82</v>
      </c>
      <c r="M117" s="51">
        <v>0.36</v>
      </c>
      <c r="N117" s="51">
        <v>3.24</v>
      </c>
    </row>
    <row r="118" spans="1:14" ht="67.5" x14ac:dyDescent="0.2">
      <c r="A118" s="49">
        <v>66</v>
      </c>
      <c r="B118" s="50" t="s">
        <v>335</v>
      </c>
      <c r="C118" s="50" t="s">
        <v>336</v>
      </c>
      <c r="D118" s="49">
        <v>0.09</v>
      </c>
      <c r="E118" s="51" t="s">
        <v>337</v>
      </c>
      <c r="F118" s="51">
        <v>444.35</v>
      </c>
      <c r="G118" s="51">
        <v>1910.96</v>
      </c>
      <c r="H118" s="52" t="s">
        <v>338</v>
      </c>
      <c r="I118" s="53">
        <v>1786.94</v>
      </c>
      <c r="J118" s="51">
        <v>868.6</v>
      </c>
      <c r="K118" s="51">
        <v>252.75</v>
      </c>
      <c r="L118" s="51" t="str">
        <f>IF(0.09*1910.96=0," ",TEXT(,ROUND((0.09*1910.96*3.87),2)))</f>
        <v>665.59</v>
      </c>
      <c r="M118" s="51">
        <v>65.400000000000006</v>
      </c>
      <c r="N118" s="51">
        <v>5.89</v>
      </c>
    </row>
    <row r="119" spans="1:14" ht="180" x14ac:dyDescent="0.2">
      <c r="A119" s="49">
        <v>67</v>
      </c>
      <c r="B119" s="50" t="s">
        <v>339</v>
      </c>
      <c r="C119" s="50" t="s">
        <v>340</v>
      </c>
      <c r="D119" s="49">
        <v>10</v>
      </c>
      <c r="E119" s="51" t="s">
        <v>341</v>
      </c>
      <c r="F119" s="51" t="s">
        <v>342</v>
      </c>
      <c r="G119" s="51">
        <v>135.41999999999999</v>
      </c>
      <c r="H119" s="52" t="s">
        <v>343</v>
      </c>
      <c r="I119" s="53">
        <v>12323.1</v>
      </c>
      <c r="J119" s="51">
        <v>4655.5</v>
      </c>
      <c r="K119" s="51" t="s">
        <v>344</v>
      </c>
      <c r="L119" s="51" t="str">
        <f>IF(10*135.42=0," ",TEXT(,ROUND((10*135.42*5.05),2)))</f>
        <v>6838.71</v>
      </c>
      <c r="M119" s="51" t="s">
        <v>345</v>
      </c>
      <c r="N119" s="51" t="s">
        <v>346</v>
      </c>
    </row>
    <row r="120" spans="1:14" ht="90" x14ac:dyDescent="0.2">
      <c r="A120" s="49">
        <v>68</v>
      </c>
      <c r="B120" s="50" t="s">
        <v>347</v>
      </c>
      <c r="C120" s="50" t="s">
        <v>348</v>
      </c>
      <c r="D120" s="49">
        <v>-20</v>
      </c>
      <c r="E120" s="51">
        <v>45</v>
      </c>
      <c r="F120" s="51"/>
      <c r="G120" s="51">
        <v>45</v>
      </c>
      <c r="H120" s="52" t="s">
        <v>349</v>
      </c>
      <c r="I120" s="53">
        <v>-5031</v>
      </c>
      <c r="J120" s="51"/>
      <c r="K120" s="51"/>
      <c r="L120" s="51" t="str">
        <f>IF(-20*45=0," ",TEXT(,ROUND((-20*45*5.59),2)))</f>
        <v>-5031</v>
      </c>
      <c r="M120" s="51"/>
      <c r="N120" s="51"/>
    </row>
    <row r="121" spans="1:14" ht="78.75" x14ac:dyDescent="0.2">
      <c r="A121" s="49">
        <v>69</v>
      </c>
      <c r="B121" s="50" t="s">
        <v>121</v>
      </c>
      <c r="C121" s="50" t="s">
        <v>350</v>
      </c>
      <c r="D121" s="49">
        <v>2</v>
      </c>
      <c r="E121" s="51">
        <v>1095.5999999999999</v>
      </c>
      <c r="F121" s="51"/>
      <c r="G121" s="51">
        <v>1095.5999999999999</v>
      </c>
      <c r="H121" s="52" t="s">
        <v>110</v>
      </c>
      <c r="I121" s="53">
        <v>11043.64</v>
      </c>
      <c r="J121" s="51"/>
      <c r="K121" s="51"/>
      <c r="L121" s="51" t="str">
        <f>IF(2*1095.6=0," ",TEXT(,ROUND((2*1095.6*5.04),2)))</f>
        <v>11043.65</v>
      </c>
      <c r="M121" s="51"/>
      <c r="N121" s="51"/>
    </row>
    <row r="122" spans="1:14" ht="56.25" x14ac:dyDescent="0.2">
      <c r="A122" s="49">
        <v>70</v>
      </c>
      <c r="B122" s="50" t="s">
        <v>108</v>
      </c>
      <c r="C122" s="50" t="s">
        <v>351</v>
      </c>
      <c r="D122" s="49">
        <v>5</v>
      </c>
      <c r="E122" s="51">
        <v>224.48</v>
      </c>
      <c r="F122" s="51"/>
      <c r="G122" s="51">
        <v>224.48</v>
      </c>
      <c r="H122" s="52" t="s">
        <v>110</v>
      </c>
      <c r="I122" s="53">
        <v>5656.9</v>
      </c>
      <c r="J122" s="51"/>
      <c r="K122" s="51"/>
      <c r="L122" s="51" t="str">
        <f>IF(5*224.48=0," ",TEXT(,ROUND((5*224.48*5.04),2)))</f>
        <v>5656.9</v>
      </c>
      <c r="M122" s="51"/>
      <c r="N122" s="51"/>
    </row>
    <row r="123" spans="1:14" ht="56.25" x14ac:dyDescent="0.2">
      <c r="A123" s="49">
        <v>71</v>
      </c>
      <c r="B123" s="50" t="s">
        <v>108</v>
      </c>
      <c r="C123" s="50" t="s">
        <v>352</v>
      </c>
      <c r="D123" s="49">
        <v>3</v>
      </c>
      <c r="E123" s="51">
        <v>195.55</v>
      </c>
      <c r="F123" s="51"/>
      <c r="G123" s="51">
        <v>195.55</v>
      </c>
      <c r="H123" s="52" t="s">
        <v>110</v>
      </c>
      <c r="I123" s="53">
        <v>2956.71</v>
      </c>
      <c r="J123" s="51"/>
      <c r="K123" s="51"/>
      <c r="L123" s="51" t="str">
        <f>IF(3*195.55=0," ",TEXT(,ROUND((3*195.55*5.04),2)))</f>
        <v>2956.72</v>
      </c>
      <c r="M123" s="51"/>
      <c r="N123" s="51"/>
    </row>
    <row r="124" spans="1:14" ht="90" x14ac:dyDescent="0.2">
      <c r="A124" s="49">
        <v>72</v>
      </c>
      <c r="B124" s="50" t="s">
        <v>353</v>
      </c>
      <c r="C124" s="50" t="s">
        <v>354</v>
      </c>
      <c r="D124" s="49">
        <v>20</v>
      </c>
      <c r="E124" s="51">
        <v>33</v>
      </c>
      <c r="F124" s="51"/>
      <c r="G124" s="51">
        <v>33</v>
      </c>
      <c r="H124" s="52" t="s">
        <v>355</v>
      </c>
      <c r="I124" s="53">
        <v>5235.8</v>
      </c>
      <c r="J124" s="51"/>
      <c r="K124" s="51"/>
      <c r="L124" s="51" t="str">
        <f>IF(20*33=0," ",TEXT(,ROUND((20*33*7.933),2)))</f>
        <v>5235.78</v>
      </c>
      <c r="M124" s="51"/>
      <c r="N124" s="51"/>
    </row>
    <row r="125" spans="1:14" ht="180" x14ac:dyDescent="0.2">
      <c r="A125" s="49">
        <v>73</v>
      </c>
      <c r="B125" s="50" t="s">
        <v>111</v>
      </c>
      <c r="C125" s="50" t="s">
        <v>112</v>
      </c>
      <c r="D125" s="49">
        <v>2</v>
      </c>
      <c r="E125" s="51" t="s">
        <v>113</v>
      </c>
      <c r="F125" s="51">
        <v>5.73</v>
      </c>
      <c r="G125" s="51">
        <v>80.66</v>
      </c>
      <c r="H125" s="52" t="s">
        <v>114</v>
      </c>
      <c r="I125" s="53">
        <v>1305.08</v>
      </c>
      <c r="J125" s="51">
        <v>470.3</v>
      </c>
      <c r="K125" s="51">
        <v>81.400000000000006</v>
      </c>
      <c r="L125" s="51" t="str">
        <f>IF(2*80.66=0," ",TEXT(,ROUND((2*80.66*4.67),2)))</f>
        <v>753.36</v>
      </c>
      <c r="M125" s="51">
        <v>1.69</v>
      </c>
      <c r="N125" s="51">
        <v>3.38</v>
      </c>
    </row>
    <row r="126" spans="1:14" ht="78.75" x14ac:dyDescent="0.2">
      <c r="A126" s="49">
        <v>74</v>
      </c>
      <c r="B126" s="50" t="s">
        <v>121</v>
      </c>
      <c r="C126" s="50" t="s">
        <v>356</v>
      </c>
      <c r="D126" s="49">
        <v>1</v>
      </c>
      <c r="E126" s="51">
        <v>1018.69</v>
      </c>
      <c r="F126" s="51"/>
      <c r="G126" s="51">
        <v>1018.69</v>
      </c>
      <c r="H126" s="52" t="s">
        <v>110</v>
      </c>
      <c r="I126" s="53">
        <v>5134.2</v>
      </c>
      <c r="J126" s="51"/>
      <c r="K126" s="51"/>
      <c r="L126" s="51" t="str">
        <f>IF(1*1018.69=0," ",TEXT(,ROUND((1*1018.69*5.04),2)))</f>
        <v>5134.2</v>
      </c>
      <c r="M126" s="51"/>
      <c r="N126" s="51"/>
    </row>
    <row r="127" spans="1:14" ht="56.25" x14ac:dyDescent="0.2">
      <c r="A127" s="49">
        <v>75</v>
      </c>
      <c r="B127" s="50" t="s">
        <v>108</v>
      </c>
      <c r="C127" s="50" t="s">
        <v>357</v>
      </c>
      <c r="D127" s="49">
        <v>1</v>
      </c>
      <c r="E127" s="51">
        <v>199.25</v>
      </c>
      <c r="F127" s="51"/>
      <c r="G127" s="51">
        <v>199.25</v>
      </c>
      <c r="H127" s="52" t="s">
        <v>110</v>
      </c>
      <c r="I127" s="53">
        <v>1004.22</v>
      </c>
      <c r="J127" s="51"/>
      <c r="K127" s="51"/>
      <c r="L127" s="51" t="str">
        <f>IF(1*199.25=0," ",TEXT(,ROUND((1*199.25*5.04),2)))</f>
        <v>1004.22</v>
      </c>
      <c r="M127" s="51"/>
      <c r="N127" s="51"/>
    </row>
    <row r="128" spans="1:14" ht="56.25" x14ac:dyDescent="0.2">
      <c r="A128" s="49">
        <v>76</v>
      </c>
      <c r="B128" s="50" t="s">
        <v>108</v>
      </c>
      <c r="C128" s="50" t="s">
        <v>358</v>
      </c>
      <c r="D128" s="49">
        <v>1</v>
      </c>
      <c r="E128" s="51">
        <v>103.07</v>
      </c>
      <c r="F128" s="51"/>
      <c r="G128" s="51">
        <v>103.07</v>
      </c>
      <c r="H128" s="52" t="s">
        <v>110</v>
      </c>
      <c r="I128" s="53">
        <v>519.47</v>
      </c>
      <c r="J128" s="51"/>
      <c r="K128" s="51"/>
      <c r="L128" s="51" t="str">
        <f>IF(1*103.07=0," ",TEXT(,ROUND((1*103.07*5.04),2)))</f>
        <v>519.47</v>
      </c>
      <c r="M128" s="51"/>
      <c r="N128" s="51"/>
    </row>
    <row r="129" spans="1:14" ht="56.25" x14ac:dyDescent="0.2">
      <c r="A129" s="49">
        <v>77</v>
      </c>
      <c r="B129" s="50" t="s">
        <v>108</v>
      </c>
      <c r="C129" s="50" t="s">
        <v>359</v>
      </c>
      <c r="D129" s="49">
        <v>1</v>
      </c>
      <c r="E129" s="51">
        <v>69.28</v>
      </c>
      <c r="F129" s="51"/>
      <c r="G129" s="51">
        <v>69.28</v>
      </c>
      <c r="H129" s="52" t="s">
        <v>110</v>
      </c>
      <c r="I129" s="53">
        <v>349.17</v>
      </c>
      <c r="J129" s="51"/>
      <c r="K129" s="51"/>
      <c r="L129" s="51" t="str">
        <f>IF(1*69.28=0," ",TEXT(,ROUND((1*69.28*5.04),2)))</f>
        <v>349.17</v>
      </c>
      <c r="M129" s="51"/>
      <c r="N129" s="51"/>
    </row>
    <row r="130" spans="1:14" ht="146.25" x14ac:dyDescent="0.2">
      <c r="A130" s="49">
        <v>78</v>
      </c>
      <c r="B130" s="50" t="s">
        <v>360</v>
      </c>
      <c r="C130" s="50" t="s">
        <v>361</v>
      </c>
      <c r="D130" s="49">
        <v>0.2</v>
      </c>
      <c r="E130" s="51" t="s">
        <v>362</v>
      </c>
      <c r="F130" s="51" t="s">
        <v>363</v>
      </c>
      <c r="G130" s="51">
        <v>9388.1</v>
      </c>
      <c r="H130" s="52" t="s">
        <v>364</v>
      </c>
      <c r="I130" s="53">
        <v>4977.66</v>
      </c>
      <c r="J130" s="51">
        <v>396.6</v>
      </c>
      <c r="K130" s="51" t="s">
        <v>365</v>
      </c>
      <c r="L130" s="51" t="str">
        <f>IF(0.2*9388.1=0," ",TEXT(,ROUND((0.2*9388.1*2.33),2)))</f>
        <v>4374.85</v>
      </c>
      <c r="M130" s="51" t="s">
        <v>366</v>
      </c>
      <c r="N130" s="51" t="s">
        <v>367</v>
      </c>
    </row>
    <row r="131" spans="1:14" ht="67.5" x14ac:dyDescent="0.2">
      <c r="A131" s="49">
        <v>79</v>
      </c>
      <c r="B131" s="50" t="s">
        <v>368</v>
      </c>
      <c r="C131" s="50" t="s">
        <v>369</v>
      </c>
      <c r="D131" s="49">
        <v>-2</v>
      </c>
      <c r="E131" s="51">
        <v>937.67</v>
      </c>
      <c r="F131" s="51"/>
      <c r="G131" s="51">
        <v>937.67</v>
      </c>
      <c r="H131" s="52" t="s">
        <v>370</v>
      </c>
      <c r="I131" s="53">
        <v>-4369.54</v>
      </c>
      <c r="J131" s="51"/>
      <c r="K131" s="51"/>
      <c r="L131" s="51" t="str">
        <f>IF(-2*937.67=0," ",TEXT(,ROUND((-2*937.67*2.33),2)))</f>
        <v>-4369.54</v>
      </c>
      <c r="M131" s="51"/>
      <c r="N131" s="51"/>
    </row>
    <row r="132" spans="1:14" ht="56.25" x14ac:dyDescent="0.2">
      <c r="A132" s="49">
        <v>80</v>
      </c>
      <c r="B132" s="50" t="s">
        <v>108</v>
      </c>
      <c r="C132" s="50" t="s">
        <v>371</v>
      </c>
      <c r="D132" s="49">
        <v>2</v>
      </c>
      <c r="E132" s="51">
        <v>436.68</v>
      </c>
      <c r="F132" s="51"/>
      <c r="G132" s="51">
        <v>436.68</v>
      </c>
      <c r="H132" s="52" t="s">
        <v>110</v>
      </c>
      <c r="I132" s="53">
        <v>4401.74</v>
      </c>
      <c r="J132" s="51"/>
      <c r="K132" s="51"/>
      <c r="L132" s="51" t="str">
        <f>IF(2*436.68=0," ",TEXT(,ROUND((2*436.68*5.04),2)))</f>
        <v>4401.73</v>
      </c>
      <c r="M132" s="51"/>
      <c r="N132" s="51"/>
    </row>
    <row r="133" spans="1:14" ht="90" x14ac:dyDescent="0.2">
      <c r="A133" s="49">
        <v>81</v>
      </c>
      <c r="B133" s="50" t="s">
        <v>353</v>
      </c>
      <c r="C133" s="50" t="s">
        <v>354</v>
      </c>
      <c r="D133" s="49">
        <v>4</v>
      </c>
      <c r="E133" s="51">
        <v>33</v>
      </c>
      <c r="F133" s="51"/>
      <c r="G133" s="51">
        <v>33</v>
      </c>
      <c r="H133" s="52" t="s">
        <v>355</v>
      </c>
      <c r="I133" s="53">
        <v>1047.1600000000001</v>
      </c>
      <c r="J133" s="51"/>
      <c r="K133" s="51"/>
      <c r="L133" s="51" t="str">
        <f>IF(4*33=0," ",TEXT(,ROUND((4*33*7.933),2)))</f>
        <v>1047.16</v>
      </c>
      <c r="M133" s="51"/>
      <c r="N133" s="51"/>
    </row>
    <row r="134" spans="1:14" ht="146.25" x14ac:dyDescent="0.2">
      <c r="A134" s="49">
        <v>82</v>
      </c>
      <c r="B134" s="50" t="s">
        <v>372</v>
      </c>
      <c r="C134" s="50" t="s">
        <v>373</v>
      </c>
      <c r="D134" s="49">
        <v>0.1</v>
      </c>
      <c r="E134" s="51" t="s">
        <v>374</v>
      </c>
      <c r="F134" s="51" t="s">
        <v>375</v>
      </c>
      <c r="G134" s="51">
        <v>6909.13</v>
      </c>
      <c r="H134" s="52" t="s">
        <v>376</v>
      </c>
      <c r="I134" s="53">
        <v>790.75</v>
      </c>
      <c r="J134" s="51">
        <v>162.58000000000001</v>
      </c>
      <c r="K134" s="51" t="s">
        <v>377</v>
      </c>
      <c r="L134" s="51" t="str">
        <f>IF(0.1*6909.13=0," ",TEXT(,ROUND((0.1*6909.13*0.8),2)))</f>
        <v>552.73</v>
      </c>
      <c r="M134" s="51" t="s">
        <v>378</v>
      </c>
      <c r="N134" s="51">
        <v>1.1399999999999999</v>
      </c>
    </row>
    <row r="135" spans="1:14" ht="146.25" x14ac:dyDescent="0.2">
      <c r="A135" s="49">
        <v>83</v>
      </c>
      <c r="B135" s="50" t="s">
        <v>379</v>
      </c>
      <c r="C135" s="50" t="s">
        <v>380</v>
      </c>
      <c r="D135" s="49">
        <v>0.1</v>
      </c>
      <c r="E135" s="51" t="s">
        <v>381</v>
      </c>
      <c r="F135" s="51" t="s">
        <v>382</v>
      </c>
      <c r="G135" s="51">
        <v>5619.89</v>
      </c>
      <c r="H135" s="52" t="s">
        <v>383</v>
      </c>
      <c r="I135" s="53">
        <v>591.1</v>
      </c>
      <c r="J135" s="51">
        <v>135.63999999999999</v>
      </c>
      <c r="K135" s="51" t="s">
        <v>384</v>
      </c>
      <c r="L135" s="51" t="str">
        <f>IF(0.1*5619.89=0," ",TEXT(,ROUND((0.1*5619.89*0.72),2)))</f>
        <v>404.63</v>
      </c>
      <c r="M135" s="51" t="s">
        <v>385</v>
      </c>
      <c r="N135" s="51">
        <v>0.94</v>
      </c>
    </row>
    <row r="136" spans="1:14" ht="135" x14ac:dyDescent="0.2">
      <c r="A136" s="49">
        <v>84</v>
      </c>
      <c r="B136" s="50" t="s">
        <v>386</v>
      </c>
      <c r="C136" s="50" t="s">
        <v>387</v>
      </c>
      <c r="D136" s="49">
        <v>3</v>
      </c>
      <c r="E136" s="51" t="s">
        <v>388</v>
      </c>
      <c r="F136" s="51">
        <v>0.85</v>
      </c>
      <c r="G136" s="51">
        <v>20.02</v>
      </c>
      <c r="H136" s="52" t="s">
        <v>389</v>
      </c>
      <c r="I136" s="53">
        <v>840.21</v>
      </c>
      <c r="J136" s="51">
        <v>552.24</v>
      </c>
      <c r="K136" s="51">
        <v>17.100000000000001</v>
      </c>
      <c r="L136" s="51" t="str">
        <f>IF(3*20.02=0," ",TEXT(,ROUND((3*20.02*4.51),2)))</f>
        <v>270.87</v>
      </c>
      <c r="M136" s="51">
        <v>1.21</v>
      </c>
      <c r="N136" s="51">
        <v>3.63</v>
      </c>
    </row>
    <row r="137" spans="1:14" ht="157.5" x14ac:dyDescent="0.2">
      <c r="A137" s="49">
        <v>85</v>
      </c>
      <c r="B137" s="50" t="s">
        <v>390</v>
      </c>
      <c r="C137" s="50" t="s">
        <v>391</v>
      </c>
      <c r="D137" s="49">
        <v>4</v>
      </c>
      <c r="E137" s="51" t="s">
        <v>392</v>
      </c>
      <c r="F137" s="51" t="s">
        <v>393</v>
      </c>
      <c r="G137" s="51">
        <v>2558.94</v>
      </c>
      <c r="H137" s="52" t="s">
        <v>394</v>
      </c>
      <c r="I137" s="53">
        <v>51573</v>
      </c>
      <c r="J137" s="51">
        <v>9289.0400000000009</v>
      </c>
      <c r="K137" s="51" t="s">
        <v>395</v>
      </c>
      <c r="L137" s="51" t="str">
        <f>IF(4*2558.94=0," ",TEXT(,ROUND((4*2558.94*4.08),2)))</f>
        <v>41761.9</v>
      </c>
      <c r="M137" s="51" t="s">
        <v>396</v>
      </c>
      <c r="N137" s="51" t="s">
        <v>397</v>
      </c>
    </row>
    <row r="138" spans="1:14" ht="90" x14ac:dyDescent="0.2">
      <c r="A138" s="49">
        <v>86</v>
      </c>
      <c r="B138" s="50" t="s">
        <v>115</v>
      </c>
      <c r="C138" s="50" t="s">
        <v>116</v>
      </c>
      <c r="D138" s="49">
        <v>-4</v>
      </c>
      <c r="E138" s="51">
        <v>28</v>
      </c>
      <c r="F138" s="51"/>
      <c r="G138" s="51">
        <v>28</v>
      </c>
      <c r="H138" s="52" t="s">
        <v>117</v>
      </c>
      <c r="I138" s="53">
        <v>-554.96</v>
      </c>
      <c r="J138" s="51"/>
      <c r="K138" s="51"/>
      <c r="L138" s="51" t="str">
        <f>IF(-4*28=0," ",TEXT(,ROUND((-4*28*4.955),2)))</f>
        <v>-554.96</v>
      </c>
      <c r="M138" s="51"/>
      <c r="N138" s="51"/>
    </row>
    <row r="139" spans="1:14" ht="90" x14ac:dyDescent="0.2">
      <c r="A139" s="49">
        <v>87</v>
      </c>
      <c r="B139" s="50" t="s">
        <v>118</v>
      </c>
      <c r="C139" s="50" t="s">
        <v>119</v>
      </c>
      <c r="D139" s="49">
        <v>-4</v>
      </c>
      <c r="E139" s="51">
        <v>23</v>
      </c>
      <c r="F139" s="51"/>
      <c r="G139" s="51">
        <v>23</v>
      </c>
      <c r="H139" s="52" t="s">
        <v>120</v>
      </c>
      <c r="I139" s="53">
        <v>-599.64</v>
      </c>
      <c r="J139" s="51"/>
      <c r="K139" s="51"/>
      <c r="L139" s="51" t="str">
        <f>IF(-4*23=0," ",TEXT(,ROUND((-4*23*6.518),2)))</f>
        <v>-599.66</v>
      </c>
      <c r="M139" s="51"/>
      <c r="N139" s="51"/>
    </row>
    <row r="140" spans="1:14" ht="78.75" x14ac:dyDescent="0.2">
      <c r="A140" s="49">
        <v>88</v>
      </c>
      <c r="B140" s="50" t="s">
        <v>398</v>
      </c>
      <c r="C140" s="50" t="s">
        <v>399</v>
      </c>
      <c r="D140" s="49">
        <v>-4</v>
      </c>
      <c r="E140" s="51">
        <v>2453.8000000000002</v>
      </c>
      <c r="F140" s="51"/>
      <c r="G140" s="51"/>
      <c r="H140" s="52" t="s">
        <v>400</v>
      </c>
      <c r="I140" s="53">
        <v>-39663.24</v>
      </c>
      <c r="J140" s="51"/>
      <c r="K140" s="51"/>
      <c r="L140" s="51" t="str">
        <f>IF(-4*0=0," ",TEXT(,ROUND((-4*0*4.041),2)))</f>
        <v xml:space="preserve"> </v>
      </c>
      <c r="M140" s="51"/>
      <c r="N140" s="51"/>
    </row>
    <row r="141" spans="1:14" ht="67.5" x14ac:dyDescent="0.2">
      <c r="A141" s="49">
        <v>89</v>
      </c>
      <c r="B141" s="50" t="s">
        <v>401</v>
      </c>
      <c r="C141" s="50" t="s">
        <v>402</v>
      </c>
      <c r="D141" s="49">
        <v>1</v>
      </c>
      <c r="E141" s="51">
        <v>1327.22</v>
      </c>
      <c r="F141" s="51"/>
      <c r="G141" s="51"/>
      <c r="H141" s="52" t="s">
        <v>403</v>
      </c>
      <c r="I141" s="53">
        <v>4569.62</v>
      </c>
      <c r="J141" s="51"/>
      <c r="K141" s="51"/>
      <c r="L141" s="51" t="str">
        <f>IF(1*0=0," ",TEXT(,ROUND((1*0*3.443),2)))</f>
        <v xml:space="preserve"> </v>
      </c>
      <c r="M141" s="51"/>
      <c r="N141" s="51"/>
    </row>
    <row r="142" spans="1:14" ht="78.75" x14ac:dyDescent="0.2">
      <c r="A142" s="49">
        <v>90</v>
      </c>
      <c r="B142" s="50" t="s">
        <v>404</v>
      </c>
      <c r="C142" s="50" t="s">
        <v>405</v>
      </c>
      <c r="D142" s="49">
        <v>2</v>
      </c>
      <c r="E142" s="51">
        <v>12287.44</v>
      </c>
      <c r="F142" s="51"/>
      <c r="G142" s="51"/>
      <c r="H142" s="52" t="s">
        <v>406</v>
      </c>
      <c r="I142" s="53">
        <v>89944.06</v>
      </c>
      <c r="J142" s="51"/>
      <c r="K142" s="51"/>
      <c r="L142" s="51" t="str">
        <f>IF(2*0=0," ",TEXT(,ROUND((2*0*3.66),2)))</f>
        <v xml:space="preserve"> </v>
      </c>
      <c r="M142" s="51"/>
      <c r="N142" s="51"/>
    </row>
    <row r="143" spans="1:14" ht="90" x14ac:dyDescent="0.2">
      <c r="A143" s="49">
        <v>91</v>
      </c>
      <c r="B143" s="50" t="s">
        <v>407</v>
      </c>
      <c r="C143" s="50" t="s">
        <v>408</v>
      </c>
      <c r="D143" s="49">
        <v>4</v>
      </c>
      <c r="E143" s="51">
        <v>21.47</v>
      </c>
      <c r="F143" s="51"/>
      <c r="G143" s="51">
        <v>21.47</v>
      </c>
      <c r="H143" s="52" t="s">
        <v>409</v>
      </c>
      <c r="I143" s="53">
        <v>484.2</v>
      </c>
      <c r="J143" s="51"/>
      <c r="K143" s="51"/>
      <c r="L143" s="51" t="str">
        <f>IF(4*21.47=0," ",TEXT(,ROUND((4*21.47*5.638),2)))</f>
        <v>484.19</v>
      </c>
      <c r="M143" s="51"/>
      <c r="N143" s="51"/>
    </row>
    <row r="144" spans="1:14" ht="78.75" x14ac:dyDescent="0.2">
      <c r="A144" s="49">
        <v>92</v>
      </c>
      <c r="B144" s="50" t="s">
        <v>108</v>
      </c>
      <c r="C144" s="50" t="s">
        <v>410</v>
      </c>
      <c r="D144" s="49">
        <v>1</v>
      </c>
      <c r="E144" s="51">
        <v>459.62</v>
      </c>
      <c r="F144" s="51"/>
      <c r="G144" s="51"/>
      <c r="H144" s="52" t="s">
        <v>406</v>
      </c>
      <c r="I144" s="53">
        <v>1682.21</v>
      </c>
      <c r="J144" s="51"/>
      <c r="K144" s="51"/>
      <c r="L144" s="51" t="str">
        <f>IF(1*0=0," ",TEXT(,ROUND((1*0*3.66),2)))</f>
        <v xml:space="preserve"> </v>
      </c>
      <c r="M144" s="51"/>
      <c r="N144" s="51"/>
    </row>
    <row r="145" spans="1:14" ht="78.75" x14ac:dyDescent="0.2">
      <c r="A145" s="49">
        <v>93</v>
      </c>
      <c r="B145" s="50" t="s">
        <v>411</v>
      </c>
      <c r="C145" s="50" t="s">
        <v>412</v>
      </c>
      <c r="D145" s="49">
        <v>1</v>
      </c>
      <c r="E145" s="51" t="s">
        <v>413</v>
      </c>
      <c r="F145" s="51"/>
      <c r="G145" s="51">
        <v>1.31</v>
      </c>
      <c r="H145" s="52" t="s">
        <v>414</v>
      </c>
      <c r="I145" s="53">
        <v>162.07</v>
      </c>
      <c r="J145" s="51">
        <v>156.77000000000001</v>
      </c>
      <c r="K145" s="51"/>
      <c r="L145" s="51" t="str">
        <f>IF(1*1.31=0," ",TEXT(,ROUND((1*1.31*4.04),2)))</f>
        <v>5.29</v>
      </c>
      <c r="M145" s="51">
        <v>1.03</v>
      </c>
      <c r="N145" s="51">
        <v>1.03</v>
      </c>
    </row>
    <row r="146" spans="1:14" ht="45" x14ac:dyDescent="0.2">
      <c r="A146" s="49">
        <v>94</v>
      </c>
      <c r="B146" s="50" t="s">
        <v>121</v>
      </c>
      <c r="C146" s="50" t="s">
        <v>415</v>
      </c>
      <c r="D146" s="49">
        <v>1</v>
      </c>
      <c r="E146" s="51">
        <v>531.71</v>
      </c>
      <c r="F146" s="51"/>
      <c r="G146" s="51">
        <v>531.71</v>
      </c>
      <c r="H146" s="52" t="s">
        <v>110</v>
      </c>
      <c r="I146" s="53">
        <v>2679.82</v>
      </c>
      <c r="J146" s="51"/>
      <c r="K146" s="51"/>
      <c r="L146" s="51" t="str">
        <f>IF(1*531.71=0," ",TEXT(,ROUND((1*531.71*5.04),2)))</f>
        <v>2679.82</v>
      </c>
      <c r="M146" s="51"/>
      <c r="N146" s="51"/>
    </row>
    <row r="147" spans="1:14" ht="180" x14ac:dyDescent="0.2">
      <c r="A147" s="49">
        <v>95</v>
      </c>
      <c r="B147" s="50" t="s">
        <v>416</v>
      </c>
      <c r="C147" s="50" t="s">
        <v>417</v>
      </c>
      <c r="D147" s="49">
        <v>1</v>
      </c>
      <c r="E147" s="51" t="s">
        <v>418</v>
      </c>
      <c r="F147" s="51" t="s">
        <v>419</v>
      </c>
      <c r="G147" s="51">
        <v>14689.95</v>
      </c>
      <c r="H147" s="52" t="s">
        <v>420</v>
      </c>
      <c r="I147" s="53">
        <v>32180.03</v>
      </c>
      <c r="J147" s="51">
        <v>1569.87</v>
      </c>
      <c r="K147" s="51" t="s">
        <v>421</v>
      </c>
      <c r="L147" s="51" t="str">
        <f>IF(1*14689.95=0," ",TEXT(,ROUND((1*14689.95*2.04),2)))</f>
        <v>29967.5</v>
      </c>
      <c r="M147" s="51" t="s">
        <v>422</v>
      </c>
      <c r="N147" s="51" t="s">
        <v>422</v>
      </c>
    </row>
    <row r="148" spans="1:14" ht="67.5" x14ac:dyDescent="0.2">
      <c r="A148" s="49">
        <v>96</v>
      </c>
      <c r="B148" s="50" t="s">
        <v>423</v>
      </c>
      <c r="C148" s="50" t="s">
        <v>424</v>
      </c>
      <c r="D148" s="49">
        <v>-1</v>
      </c>
      <c r="E148" s="51">
        <v>14500</v>
      </c>
      <c r="F148" s="51"/>
      <c r="G148" s="51"/>
      <c r="H148" s="52" t="s">
        <v>425</v>
      </c>
      <c r="I148" s="53">
        <v>-18734</v>
      </c>
      <c r="J148" s="51"/>
      <c r="K148" s="51"/>
      <c r="L148" s="51" t="str">
        <f>IF(-1*0=0," ",TEXT(,ROUND((-1*0*1.292),2)))</f>
        <v xml:space="preserve"> </v>
      </c>
      <c r="M148" s="51"/>
      <c r="N148" s="51"/>
    </row>
    <row r="149" spans="1:14" ht="78.75" x14ac:dyDescent="0.2">
      <c r="A149" s="49">
        <v>97</v>
      </c>
      <c r="B149" s="50" t="s">
        <v>426</v>
      </c>
      <c r="C149" s="50" t="s">
        <v>427</v>
      </c>
      <c r="D149" s="49">
        <v>1</v>
      </c>
      <c r="E149" s="51">
        <v>17439.18</v>
      </c>
      <c r="F149" s="51"/>
      <c r="G149" s="51"/>
      <c r="H149" s="52" t="s">
        <v>406</v>
      </c>
      <c r="I149" s="53">
        <v>63827.4</v>
      </c>
      <c r="J149" s="51"/>
      <c r="K149" s="51"/>
      <c r="L149" s="51" t="str">
        <f>IF(1*0=0," ",TEXT(,ROUND((1*0*3.66),2)))</f>
        <v xml:space="preserve"> </v>
      </c>
      <c r="M149" s="51"/>
      <c r="N149" s="51"/>
    </row>
    <row r="150" spans="1:14" ht="17.850000000000001" customHeight="1" x14ac:dyDescent="0.2">
      <c r="A150" s="64" t="s">
        <v>428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</row>
    <row r="151" spans="1:14" ht="78.75" x14ac:dyDescent="0.2">
      <c r="A151" s="49">
        <v>98</v>
      </c>
      <c r="B151" s="50" t="s">
        <v>429</v>
      </c>
      <c r="C151" s="50" t="s">
        <v>430</v>
      </c>
      <c r="D151" s="49">
        <v>2</v>
      </c>
      <c r="E151" s="51" t="s">
        <v>431</v>
      </c>
      <c r="F151" s="51"/>
      <c r="G151" s="51">
        <v>1.0900000000000001</v>
      </c>
      <c r="H151" s="52" t="s">
        <v>432</v>
      </c>
      <c r="I151" s="53">
        <v>164.82</v>
      </c>
      <c r="J151" s="51">
        <v>158.30000000000001</v>
      </c>
      <c r="K151" s="51"/>
      <c r="L151" s="51" t="str">
        <f>IF(2*1.09=0," ",TEXT(,ROUND((2*1.09*2.99),2)))</f>
        <v>6.52</v>
      </c>
      <c r="M151" s="51">
        <v>0.52</v>
      </c>
      <c r="N151" s="51">
        <v>1.04</v>
      </c>
    </row>
    <row r="152" spans="1:14" ht="78.75" x14ac:dyDescent="0.2">
      <c r="A152" s="49">
        <v>99</v>
      </c>
      <c r="B152" s="50" t="s">
        <v>121</v>
      </c>
      <c r="C152" s="50" t="s">
        <v>433</v>
      </c>
      <c r="D152" s="49">
        <v>1</v>
      </c>
      <c r="E152" s="51">
        <v>5114.21</v>
      </c>
      <c r="F152" s="51"/>
      <c r="G152" s="51"/>
      <c r="H152" s="52" t="s">
        <v>406</v>
      </c>
      <c r="I152" s="53">
        <v>18718.009999999998</v>
      </c>
      <c r="J152" s="51"/>
      <c r="K152" s="51"/>
      <c r="L152" s="51" t="str">
        <f>IF(1*0=0," ",TEXT(,ROUND((1*0*3.66),2)))</f>
        <v xml:space="preserve"> </v>
      </c>
      <c r="M152" s="51"/>
      <c r="N152" s="51"/>
    </row>
    <row r="153" spans="1:14" ht="78.75" x14ac:dyDescent="0.2">
      <c r="A153" s="49">
        <v>100</v>
      </c>
      <c r="B153" s="50" t="s">
        <v>121</v>
      </c>
      <c r="C153" s="50" t="s">
        <v>434</v>
      </c>
      <c r="D153" s="49">
        <v>1</v>
      </c>
      <c r="E153" s="51">
        <v>2543.7199999999998</v>
      </c>
      <c r="F153" s="51"/>
      <c r="G153" s="51"/>
      <c r="H153" s="52" t="s">
        <v>406</v>
      </c>
      <c r="I153" s="53">
        <v>9310.02</v>
      </c>
      <c r="J153" s="51"/>
      <c r="K153" s="51"/>
      <c r="L153" s="51" t="str">
        <f>IF(1*0=0," ",TEXT(,ROUND((1*0*3.66),2)))</f>
        <v xml:space="preserve"> </v>
      </c>
      <c r="M153" s="51"/>
      <c r="N153" s="51"/>
    </row>
    <row r="154" spans="1:14" ht="78.75" x14ac:dyDescent="0.2">
      <c r="A154" s="49">
        <v>101</v>
      </c>
      <c r="B154" s="50" t="s">
        <v>121</v>
      </c>
      <c r="C154" s="50" t="s">
        <v>435</v>
      </c>
      <c r="D154" s="49">
        <v>1</v>
      </c>
      <c r="E154" s="51">
        <v>696.17</v>
      </c>
      <c r="F154" s="51"/>
      <c r="G154" s="51"/>
      <c r="H154" s="52" t="s">
        <v>406</v>
      </c>
      <c r="I154" s="53">
        <v>2547.98</v>
      </c>
      <c r="J154" s="51"/>
      <c r="K154" s="51"/>
      <c r="L154" s="51" t="str">
        <f>IF(1*0=0," ",TEXT(,ROUND((1*0*3.66),2)))</f>
        <v xml:space="preserve"> </v>
      </c>
      <c r="M154" s="51"/>
      <c r="N154" s="51"/>
    </row>
    <row r="155" spans="1:14" ht="78.75" x14ac:dyDescent="0.2">
      <c r="A155" s="49">
        <v>102</v>
      </c>
      <c r="B155" s="50" t="s">
        <v>436</v>
      </c>
      <c r="C155" s="50" t="s">
        <v>412</v>
      </c>
      <c r="D155" s="49">
        <v>4</v>
      </c>
      <c r="E155" s="51" t="s">
        <v>413</v>
      </c>
      <c r="F155" s="51"/>
      <c r="G155" s="51">
        <v>1.31</v>
      </c>
      <c r="H155" s="52" t="s">
        <v>414</v>
      </c>
      <c r="I155" s="53">
        <v>648.28</v>
      </c>
      <c r="J155" s="51">
        <v>627.08000000000004</v>
      </c>
      <c r="K155" s="51"/>
      <c r="L155" s="51" t="str">
        <f>IF(4*1.31=0," ",TEXT(,ROUND((4*1.31*4.04),2)))</f>
        <v>21.17</v>
      </c>
      <c r="M155" s="51">
        <v>1.03</v>
      </c>
      <c r="N155" s="51">
        <v>4.12</v>
      </c>
    </row>
    <row r="156" spans="1:14" ht="78.75" x14ac:dyDescent="0.2">
      <c r="A156" s="49">
        <v>103</v>
      </c>
      <c r="B156" s="50" t="s">
        <v>121</v>
      </c>
      <c r="C156" s="50" t="s">
        <v>437</v>
      </c>
      <c r="D156" s="49">
        <v>1</v>
      </c>
      <c r="E156" s="51">
        <v>624.41999999999996</v>
      </c>
      <c r="F156" s="51"/>
      <c r="G156" s="51"/>
      <c r="H156" s="52" t="s">
        <v>406</v>
      </c>
      <c r="I156" s="53">
        <v>2285.38</v>
      </c>
      <c r="J156" s="51"/>
      <c r="K156" s="51"/>
      <c r="L156" s="51" t="str">
        <f>IF(1*0=0," ",TEXT(,ROUND((1*0*3.66),2)))</f>
        <v xml:space="preserve"> </v>
      </c>
      <c r="M156" s="51"/>
      <c r="N156" s="51"/>
    </row>
    <row r="157" spans="1:14" ht="78.75" x14ac:dyDescent="0.2">
      <c r="A157" s="49">
        <v>104</v>
      </c>
      <c r="B157" s="50" t="s">
        <v>121</v>
      </c>
      <c r="C157" s="50" t="s">
        <v>438</v>
      </c>
      <c r="D157" s="49">
        <v>3</v>
      </c>
      <c r="E157" s="51">
        <v>1024.18</v>
      </c>
      <c r="F157" s="51"/>
      <c r="G157" s="51"/>
      <c r="H157" s="52" t="s">
        <v>406</v>
      </c>
      <c r="I157" s="53">
        <v>11245.5</v>
      </c>
      <c r="J157" s="51"/>
      <c r="K157" s="51"/>
      <c r="L157" s="51" t="str">
        <f>IF(3*0=0," ",TEXT(,ROUND((3*0*3.66),2)))</f>
        <v xml:space="preserve"> </v>
      </c>
      <c r="M157" s="51"/>
      <c r="N157" s="51"/>
    </row>
    <row r="158" spans="1:14" ht="101.25" x14ac:dyDescent="0.2">
      <c r="A158" s="49">
        <v>105</v>
      </c>
      <c r="B158" s="50" t="s">
        <v>439</v>
      </c>
      <c r="C158" s="50" t="s">
        <v>440</v>
      </c>
      <c r="D158" s="49">
        <v>2</v>
      </c>
      <c r="E158" s="51" t="s">
        <v>441</v>
      </c>
      <c r="F158" s="51">
        <v>1.74</v>
      </c>
      <c r="G158" s="51">
        <v>2.5299999999999998</v>
      </c>
      <c r="H158" s="52" t="s">
        <v>442</v>
      </c>
      <c r="I158" s="53">
        <v>1359.58</v>
      </c>
      <c r="J158" s="51">
        <v>1298.68</v>
      </c>
      <c r="K158" s="51">
        <v>29.38</v>
      </c>
      <c r="L158" s="51" t="str">
        <f>IF(2*2.53=0," ",TEXT(,ROUND((2*2.53*6.23),2)))</f>
        <v>31.52</v>
      </c>
      <c r="M158" s="51">
        <v>4.4000000000000004</v>
      </c>
      <c r="N158" s="51">
        <v>8.8000000000000007</v>
      </c>
    </row>
    <row r="159" spans="1:14" ht="78.75" x14ac:dyDescent="0.2">
      <c r="A159" s="49">
        <v>106</v>
      </c>
      <c r="B159" s="50" t="s">
        <v>121</v>
      </c>
      <c r="C159" s="50" t="s">
        <v>443</v>
      </c>
      <c r="D159" s="49">
        <v>2</v>
      </c>
      <c r="E159" s="51">
        <v>4791.6899999999996</v>
      </c>
      <c r="F159" s="51"/>
      <c r="G159" s="51"/>
      <c r="H159" s="52" t="s">
        <v>406</v>
      </c>
      <c r="I159" s="53">
        <v>35075.18</v>
      </c>
      <c r="J159" s="51"/>
      <c r="K159" s="51"/>
      <c r="L159" s="51" t="str">
        <f>IF(2*0=0," ",TEXT(,ROUND((2*0*3.66),2)))</f>
        <v xml:space="preserve"> </v>
      </c>
      <c r="M159" s="51"/>
      <c r="N159" s="51"/>
    </row>
    <row r="160" spans="1:14" ht="90" x14ac:dyDescent="0.2">
      <c r="A160" s="49">
        <v>107</v>
      </c>
      <c r="B160" s="50" t="s">
        <v>444</v>
      </c>
      <c r="C160" s="50" t="s">
        <v>445</v>
      </c>
      <c r="D160" s="49">
        <v>4</v>
      </c>
      <c r="E160" s="51">
        <v>19.21</v>
      </c>
      <c r="F160" s="51"/>
      <c r="G160" s="51">
        <v>19.21</v>
      </c>
      <c r="H160" s="52" t="s">
        <v>409</v>
      </c>
      <c r="I160" s="53">
        <v>433.24</v>
      </c>
      <c r="J160" s="51"/>
      <c r="K160" s="51"/>
      <c r="L160" s="51" t="str">
        <f>IF(4*19.21=0," ",TEXT(,ROUND((4*19.21*5.638),2)))</f>
        <v>433.22</v>
      </c>
      <c r="M160" s="51"/>
      <c r="N160" s="51"/>
    </row>
    <row r="161" spans="1:14" ht="78.75" x14ac:dyDescent="0.2">
      <c r="A161" s="49">
        <v>108</v>
      </c>
      <c r="B161" s="50" t="s">
        <v>121</v>
      </c>
      <c r="C161" s="50" t="s">
        <v>446</v>
      </c>
      <c r="D161" s="49">
        <v>1</v>
      </c>
      <c r="E161" s="51">
        <v>6977.95</v>
      </c>
      <c r="F161" s="51"/>
      <c r="G161" s="51"/>
      <c r="H161" s="52" t="s">
        <v>406</v>
      </c>
      <c r="I161" s="53">
        <v>25539.3</v>
      </c>
      <c r="J161" s="51"/>
      <c r="K161" s="51"/>
      <c r="L161" s="51" t="str">
        <f>IF(1*0=0," ",TEXT(,ROUND((1*0*3.66),2)))</f>
        <v xml:space="preserve"> </v>
      </c>
      <c r="M161" s="51"/>
      <c r="N161" s="51"/>
    </row>
    <row r="162" spans="1:14" ht="78.75" x14ac:dyDescent="0.2">
      <c r="A162" s="49">
        <v>109</v>
      </c>
      <c r="B162" s="50" t="s">
        <v>121</v>
      </c>
      <c r="C162" s="50" t="s">
        <v>447</v>
      </c>
      <c r="D162" s="49">
        <v>1</v>
      </c>
      <c r="E162" s="51">
        <v>8903.81</v>
      </c>
      <c r="F162" s="51"/>
      <c r="G162" s="51"/>
      <c r="H162" s="52" t="s">
        <v>406</v>
      </c>
      <c r="I162" s="53">
        <v>32587.94</v>
      </c>
      <c r="J162" s="51"/>
      <c r="K162" s="51"/>
      <c r="L162" s="51" t="str">
        <f>IF(1*0=0," ",TEXT(,ROUND((1*0*3.66),2)))</f>
        <v xml:space="preserve"> </v>
      </c>
      <c r="M162" s="51"/>
      <c r="N162" s="51"/>
    </row>
    <row r="163" spans="1:14" ht="67.5" x14ac:dyDescent="0.2">
      <c r="A163" s="49">
        <v>110</v>
      </c>
      <c r="B163" s="50" t="s">
        <v>448</v>
      </c>
      <c r="C163" s="50" t="s">
        <v>449</v>
      </c>
      <c r="D163" s="49">
        <v>1</v>
      </c>
      <c r="E163" s="51" t="s">
        <v>450</v>
      </c>
      <c r="F163" s="51"/>
      <c r="G163" s="51">
        <v>3.6</v>
      </c>
      <c r="H163" s="52" t="s">
        <v>451</v>
      </c>
      <c r="I163" s="53">
        <v>639.91</v>
      </c>
      <c r="J163" s="51">
        <v>626.95000000000005</v>
      </c>
      <c r="K163" s="51"/>
      <c r="L163" s="51" t="str">
        <f>IF(1*3.6=0," ",TEXT(,ROUND((1*3.6*3.6),2)))</f>
        <v>12.96</v>
      </c>
      <c r="M163" s="51">
        <v>4.12</v>
      </c>
      <c r="N163" s="51">
        <v>4.12</v>
      </c>
    </row>
    <row r="164" spans="1:14" ht="90" x14ac:dyDescent="0.2">
      <c r="A164" s="49">
        <v>111</v>
      </c>
      <c r="B164" s="50" t="s">
        <v>121</v>
      </c>
      <c r="C164" s="50" t="s">
        <v>452</v>
      </c>
      <c r="D164" s="49">
        <v>1</v>
      </c>
      <c r="E164" s="51">
        <v>27163.4</v>
      </c>
      <c r="F164" s="51"/>
      <c r="G164" s="51"/>
      <c r="H164" s="52" t="s">
        <v>406</v>
      </c>
      <c r="I164" s="53">
        <v>99418.04</v>
      </c>
      <c r="J164" s="51"/>
      <c r="K164" s="51"/>
      <c r="L164" s="51" t="str">
        <f>IF(1*0=0," ",TEXT(,ROUND((1*0*3.66),2)))</f>
        <v xml:space="preserve"> </v>
      </c>
      <c r="M164" s="51"/>
      <c r="N164" s="51"/>
    </row>
    <row r="165" spans="1:14" ht="90" x14ac:dyDescent="0.2">
      <c r="A165" s="49">
        <v>112</v>
      </c>
      <c r="B165" s="50" t="s">
        <v>453</v>
      </c>
      <c r="C165" s="50" t="s">
        <v>454</v>
      </c>
      <c r="D165" s="49">
        <v>2</v>
      </c>
      <c r="E165" s="51">
        <v>23.4</v>
      </c>
      <c r="F165" s="51"/>
      <c r="G165" s="51">
        <v>23.4</v>
      </c>
      <c r="H165" s="52" t="s">
        <v>455</v>
      </c>
      <c r="I165" s="53">
        <v>336.22</v>
      </c>
      <c r="J165" s="51"/>
      <c r="K165" s="51"/>
      <c r="L165" s="51" t="str">
        <f>IF(2*23.4=0," ",TEXT(,ROUND((2*23.4*7.184),2)))</f>
        <v>336.21</v>
      </c>
      <c r="M165" s="51"/>
      <c r="N165" s="51"/>
    </row>
    <row r="166" spans="1:14" ht="78.75" x14ac:dyDescent="0.2">
      <c r="A166" s="49">
        <v>113</v>
      </c>
      <c r="B166" s="50" t="s">
        <v>121</v>
      </c>
      <c r="C166" s="50" t="s">
        <v>456</v>
      </c>
      <c r="D166" s="49">
        <v>1</v>
      </c>
      <c r="E166" s="51">
        <v>667.66</v>
      </c>
      <c r="F166" s="51"/>
      <c r="G166" s="51"/>
      <c r="H166" s="52" t="s">
        <v>406</v>
      </c>
      <c r="I166" s="53">
        <v>2443.64</v>
      </c>
      <c r="J166" s="51"/>
      <c r="K166" s="51"/>
      <c r="L166" s="51" t="str">
        <f>IF(1*0=0," ",TEXT(,ROUND((1*0*3.66),2)))</f>
        <v xml:space="preserve"> </v>
      </c>
      <c r="M166" s="51"/>
      <c r="N166" s="51"/>
    </row>
    <row r="167" spans="1:14" ht="78.75" x14ac:dyDescent="0.2">
      <c r="A167" s="49">
        <v>114</v>
      </c>
      <c r="B167" s="50" t="s">
        <v>457</v>
      </c>
      <c r="C167" s="50" t="s">
        <v>458</v>
      </c>
      <c r="D167" s="49">
        <v>1</v>
      </c>
      <c r="E167" s="51" t="s">
        <v>459</v>
      </c>
      <c r="F167" s="51" t="s">
        <v>460</v>
      </c>
      <c r="G167" s="51">
        <v>3</v>
      </c>
      <c r="H167" s="52" t="s">
        <v>461</v>
      </c>
      <c r="I167" s="53">
        <v>689.28</v>
      </c>
      <c r="J167" s="51">
        <v>360.64</v>
      </c>
      <c r="K167" s="51" t="s">
        <v>462</v>
      </c>
      <c r="L167" s="51" t="str">
        <f>IF(1*3=0," ",TEXT(,ROUND((1*3*4.36),2)))</f>
        <v>13.08</v>
      </c>
      <c r="M167" s="51" t="s">
        <v>463</v>
      </c>
      <c r="N167" s="51" t="s">
        <v>463</v>
      </c>
    </row>
    <row r="168" spans="1:14" ht="78.75" x14ac:dyDescent="0.2">
      <c r="A168" s="49">
        <v>115</v>
      </c>
      <c r="B168" s="50" t="s">
        <v>464</v>
      </c>
      <c r="C168" s="50" t="s">
        <v>465</v>
      </c>
      <c r="D168" s="49">
        <v>1</v>
      </c>
      <c r="E168" s="51">
        <v>3961.75</v>
      </c>
      <c r="F168" s="51"/>
      <c r="G168" s="51"/>
      <c r="H168" s="52" t="s">
        <v>406</v>
      </c>
      <c r="I168" s="53">
        <v>14500.01</v>
      </c>
      <c r="J168" s="51"/>
      <c r="K168" s="51"/>
      <c r="L168" s="51" t="str">
        <f>IF(1*0=0," ",TEXT(,ROUND((1*0*3.66),2)))</f>
        <v xml:space="preserve"> </v>
      </c>
      <c r="M168" s="51"/>
      <c r="N168" s="51"/>
    </row>
    <row r="169" spans="1:14" ht="17.850000000000001" customHeight="1" x14ac:dyDescent="0.2">
      <c r="A169" s="64" t="s">
        <v>466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</row>
    <row r="170" spans="1:14" ht="78.75" x14ac:dyDescent="0.2">
      <c r="A170" s="49">
        <v>116</v>
      </c>
      <c r="B170" s="50" t="s">
        <v>429</v>
      </c>
      <c r="C170" s="50" t="s">
        <v>467</v>
      </c>
      <c r="D170" s="49">
        <v>1</v>
      </c>
      <c r="E170" s="51" t="s">
        <v>431</v>
      </c>
      <c r="F170" s="51"/>
      <c r="G170" s="51">
        <v>1.0900000000000001</v>
      </c>
      <c r="H170" s="52" t="s">
        <v>432</v>
      </c>
      <c r="I170" s="53">
        <v>82.41</v>
      </c>
      <c r="J170" s="51">
        <v>79.150000000000006</v>
      </c>
      <c r="K170" s="51"/>
      <c r="L170" s="51" t="str">
        <f>IF(1*1.09=0," ",TEXT(,ROUND((1*1.09*2.99),2)))</f>
        <v>3.26</v>
      </c>
      <c r="M170" s="51">
        <v>0.52</v>
      </c>
      <c r="N170" s="51">
        <v>0.52</v>
      </c>
    </row>
    <row r="171" spans="1:14" ht="123.75" x14ac:dyDescent="0.2">
      <c r="A171" s="49">
        <v>117</v>
      </c>
      <c r="B171" s="50" t="s">
        <v>468</v>
      </c>
      <c r="C171" s="50" t="s">
        <v>469</v>
      </c>
      <c r="D171" s="49">
        <v>2</v>
      </c>
      <c r="E171" s="51" t="s">
        <v>470</v>
      </c>
      <c r="F171" s="51"/>
      <c r="G171" s="51">
        <v>8.01</v>
      </c>
      <c r="H171" s="52" t="s">
        <v>471</v>
      </c>
      <c r="I171" s="53">
        <v>369.04</v>
      </c>
      <c r="J171" s="51">
        <v>276.12</v>
      </c>
      <c r="K171" s="51"/>
      <c r="L171" s="51" t="str">
        <f>IF(2*8.01=0," ",TEXT(,ROUND((2*8.01*5.8),2)))</f>
        <v>92.92</v>
      </c>
      <c r="M171" s="51">
        <v>1.03</v>
      </c>
      <c r="N171" s="51">
        <v>2.06</v>
      </c>
    </row>
    <row r="172" spans="1:14" ht="90" x14ac:dyDescent="0.2">
      <c r="A172" s="49">
        <v>118</v>
      </c>
      <c r="B172" s="50" t="s">
        <v>407</v>
      </c>
      <c r="C172" s="50" t="s">
        <v>408</v>
      </c>
      <c r="D172" s="49">
        <v>4</v>
      </c>
      <c r="E172" s="51">
        <v>21.47</v>
      </c>
      <c r="F172" s="51"/>
      <c r="G172" s="51">
        <v>21.47</v>
      </c>
      <c r="H172" s="52" t="s">
        <v>409</v>
      </c>
      <c r="I172" s="53">
        <v>484.2</v>
      </c>
      <c r="J172" s="51"/>
      <c r="K172" s="51"/>
      <c r="L172" s="51" t="str">
        <f>IF(4*21.47=0," ",TEXT(,ROUND((4*21.47*5.638),2)))</f>
        <v>484.19</v>
      </c>
      <c r="M172" s="51"/>
      <c r="N172" s="51"/>
    </row>
    <row r="173" spans="1:14" ht="78.75" x14ac:dyDescent="0.2">
      <c r="A173" s="49">
        <v>119</v>
      </c>
      <c r="B173" s="50" t="s">
        <v>436</v>
      </c>
      <c r="C173" s="50" t="s">
        <v>472</v>
      </c>
      <c r="D173" s="49">
        <v>4</v>
      </c>
      <c r="E173" s="51" t="s">
        <v>413</v>
      </c>
      <c r="F173" s="51"/>
      <c r="G173" s="51">
        <v>1.31</v>
      </c>
      <c r="H173" s="52" t="s">
        <v>414</v>
      </c>
      <c r="I173" s="53">
        <v>648.28</v>
      </c>
      <c r="J173" s="51">
        <v>627.08000000000004</v>
      </c>
      <c r="K173" s="51"/>
      <c r="L173" s="51" t="str">
        <f>IF(4*1.31=0," ",TEXT(,ROUND((4*1.31*4.04),2)))</f>
        <v>21.17</v>
      </c>
      <c r="M173" s="51">
        <v>1.03</v>
      </c>
      <c r="N173" s="51">
        <v>4.12</v>
      </c>
    </row>
    <row r="174" spans="1:14" ht="67.5" x14ac:dyDescent="0.2">
      <c r="A174" s="49">
        <v>120</v>
      </c>
      <c r="B174" s="50" t="s">
        <v>335</v>
      </c>
      <c r="C174" s="50" t="s">
        <v>473</v>
      </c>
      <c r="D174" s="49">
        <v>0.02</v>
      </c>
      <c r="E174" s="51" t="s">
        <v>337</v>
      </c>
      <c r="F174" s="51">
        <v>444.35</v>
      </c>
      <c r="G174" s="51">
        <v>1910.96</v>
      </c>
      <c r="H174" s="52" t="s">
        <v>338</v>
      </c>
      <c r="I174" s="53">
        <v>397.1</v>
      </c>
      <c r="J174" s="51">
        <v>193.02</v>
      </c>
      <c r="K174" s="51">
        <v>56.17</v>
      </c>
      <c r="L174" s="51" t="str">
        <f>IF(0.02*1910.96=0," ",TEXT(,ROUND((0.02*1910.96*3.87),2)))</f>
        <v>147.91</v>
      </c>
      <c r="M174" s="51">
        <v>65.400000000000006</v>
      </c>
      <c r="N174" s="51">
        <v>1.31</v>
      </c>
    </row>
    <row r="175" spans="1:14" ht="56.25" x14ac:dyDescent="0.2">
      <c r="A175" s="49">
        <v>121</v>
      </c>
      <c r="B175" s="50" t="s">
        <v>474</v>
      </c>
      <c r="C175" s="50" t="s">
        <v>475</v>
      </c>
      <c r="D175" s="49">
        <v>-2</v>
      </c>
      <c r="E175" s="51">
        <v>9.4</v>
      </c>
      <c r="F175" s="51"/>
      <c r="G175" s="51">
        <v>9.4</v>
      </c>
      <c r="H175" s="52" t="s">
        <v>476</v>
      </c>
      <c r="I175" s="53">
        <v>-69.400000000000006</v>
      </c>
      <c r="J175" s="51"/>
      <c r="K175" s="51"/>
      <c r="L175" s="51" t="str">
        <f>IF(-2*9.4=0," ",TEXT(,ROUND((-2*9.4*3.692),2)))</f>
        <v>-69.41</v>
      </c>
      <c r="M175" s="51"/>
      <c r="N175" s="51"/>
    </row>
    <row r="176" spans="1:14" ht="123.75" x14ac:dyDescent="0.2">
      <c r="A176" s="49">
        <v>122</v>
      </c>
      <c r="B176" s="50" t="s">
        <v>477</v>
      </c>
      <c r="C176" s="50" t="s">
        <v>478</v>
      </c>
      <c r="D176" s="49">
        <v>1</v>
      </c>
      <c r="E176" s="51">
        <v>12729.51</v>
      </c>
      <c r="F176" s="51"/>
      <c r="G176" s="51"/>
      <c r="H176" s="52" t="s">
        <v>406</v>
      </c>
      <c r="I176" s="53">
        <v>46590.01</v>
      </c>
      <c r="J176" s="51"/>
      <c r="K176" s="51"/>
      <c r="L176" s="51" t="str">
        <f>IF(1*0=0," ",TEXT(,ROUND((1*0*3.66),2)))</f>
        <v xml:space="preserve"> </v>
      </c>
      <c r="M176" s="51"/>
      <c r="N176" s="51"/>
    </row>
    <row r="177" spans="1:14" ht="45" x14ac:dyDescent="0.2">
      <c r="A177" s="49">
        <v>123</v>
      </c>
      <c r="B177" s="50" t="s">
        <v>108</v>
      </c>
      <c r="C177" s="50" t="s">
        <v>479</v>
      </c>
      <c r="D177" s="49">
        <v>1</v>
      </c>
      <c r="E177" s="51">
        <v>67.760000000000005</v>
      </c>
      <c r="F177" s="51"/>
      <c r="G177" s="51">
        <v>67.760000000000005</v>
      </c>
      <c r="H177" s="52" t="s">
        <v>110</v>
      </c>
      <c r="I177" s="53">
        <v>341.51</v>
      </c>
      <c r="J177" s="51"/>
      <c r="K177" s="51"/>
      <c r="L177" s="51" t="str">
        <f>IF(1*67.76=0," ",TEXT(,ROUND((1*67.76*5.04),2)))</f>
        <v>341.51</v>
      </c>
      <c r="M177" s="51"/>
      <c r="N177" s="51"/>
    </row>
    <row r="178" spans="1:14" ht="78.75" x14ac:dyDescent="0.2">
      <c r="A178" s="49">
        <v>124</v>
      </c>
      <c r="B178" s="50" t="s">
        <v>457</v>
      </c>
      <c r="C178" s="50" t="s">
        <v>458</v>
      </c>
      <c r="D178" s="49">
        <v>1</v>
      </c>
      <c r="E178" s="51" t="s">
        <v>459</v>
      </c>
      <c r="F178" s="51" t="s">
        <v>460</v>
      </c>
      <c r="G178" s="51">
        <v>3</v>
      </c>
      <c r="H178" s="52" t="s">
        <v>461</v>
      </c>
      <c r="I178" s="53">
        <v>689.28</v>
      </c>
      <c r="J178" s="51">
        <v>360.64</v>
      </c>
      <c r="K178" s="51" t="s">
        <v>462</v>
      </c>
      <c r="L178" s="51" t="str">
        <f>IF(1*3=0," ",TEXT(,ROUND((1*3*4.36),2)))</f>
        <v>13.08</v>
      </c>
      <c r="M178" s="51" t="s">
        <v>463</v>
      </c>
      <c r="N178" s="51" t="s">
        <v>463</v>
      </c>
    </row>
    <row r="179" spans="1:14" ht="78.75" x14ac:dyDescent="0.2">
      <c r="A179" s="49">
        <v>125</v>
      </c>
      <c r="B179" s="50" t="s">
        <v>477</v>
      </c>
      <c r="C179" s="50" t="s">
        <v>480</v>
      </c>
      <c r="D179" s="49">
        <v>1</v>
      </c>
      <c r="E179" s="51">
        <v>1229.51</v>
      </c>
      <c r="F179" s="51"/>
      <c r="G179" s="51"/>
      <c r="H179" s="52" t="s">
        <v>406</v>
      </c>
      <c r="I179" s="53">
        <v>4500.01</v>
      </c>
      <c r="J179" s="51"/>
      <c r="K179" s="51"/>
      <c r="L179" s="51" t="str">
        <f>IF(1*0=0," ",TEXT(,ROUND((1*0*3.66),2)))</f>
        <v xml:space="preserve"> </v>
      </c>
      <c r="M179" s="51"/>
      <c r="N179" s="51"/>
    </row>
    <row r="180" spans="1:14" ht="17.850000000000001" customHeight="1" x14ac:dyDescent="0.2">
      <c r="A180" s="64" t="s">
        <v>165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</row>
    <row r="181" spans="1:14" ht="157.5" x14ac:dyDescent="0.2">
      <c r="A181" s="49">
        <v>126</v>
      </c>
      <c r="B181" s="50" t="s">
        <v>202</v>
      </c>
      <c r="C181" s="50" t="s">
        <v>203</v>
      </c>
      <c r="D181" s="49">
        <v>8.2000000000000003E-2</v>
      </c>
      <c r="E181" s="51" t="s">
        <v>204</v>
      </c>
      <c r="F181" s="51" t="s">
        <v>205</v>
      </c>
      <c r="G181" s="51">
        <v>202.72</v>
      </c>
      <c r="H181" s="52" t="s">
        <v>206</v>
      </c>
      <c r="I181" s="53">
        <v>148.6</v>
      </c>
      <c r="J181" s="51">
        <v>81.8</v>
      </c>
      <c r="K181" s="51" t="s">
        <v>481</v>
      </c>
      <c r="L181" s="51" t="str">
        <f>IF(0.082*202.72=0," ",TEXT(,ROUND((0.082*202.72*3.42),2)))</f>
        <v>56.85</v>
      </c>
      <c r="M181" s="51" t="s">
        <v>208</v>
      </c>
      <c r="N181" s="51">
        <v>0.5</v>
      </c>
    </row>
    <row r="182" spans="1:14" ht="191.25" x14ac:dyDescent="0.2">
      <c r="A182" s="49">
        <v>127</v>
      </c>
      <c r="B182" s="50" t="s">
        <v>482</v>
      </c>
      <c r="C182" s="50" t="s">
        <v>483</v>
      </c>
      <c r="D182" s="49">
        <v>8.2000000000000003E-2</v>
      </c>
      <c r="E182" s="51" t="s">
        <v>484</v>
      </c>
      <c r="F182" s="51" t="s">
        <v>485</v>
      </c>
      <c r="G182" s="51">
        <v>401.56</v>
      </c>
      <c r="H182" s="52" t="s">
        <v>214</v>
      </c>
      <c r="I182" s="53">
        <v>236.07</v>
      </c>
      <c r="J182" s="51">
        <v>70.64</v>
      </c>
      <c r="K182" s="51" t="s">
        <v>486</v>
      </c>
      <c r="L182" s="51" t="str">
        <f>IF(0.082*401.56=0," ",TEXT(,ROUND((0.082*401.56*4.32),2)))</f>
        <v>142.25</v>
      </c>
      <c r="M182" s="51" t="s">
        <v>487</v>
      </c>
      <c r="N182" s="51">
        <v>0.51</v>
      </c>
    </row>
    <row r="183" spans="1:14" ht="180" x14ac:dyDescent="0.2">
      <c r="A183" s="49">
        <v>128</v>
      </c>
      <c r="B183" s="50" t="s">
        <v>488</v>
      </c>
      <c r="C183" s="50" t="s">
        <v>489</v>
      </c>
      <c r="D183" s="49">
        <v>0.8</v>
      </c>
      <c r="E183" s="51" t="s">
        <v>490</v>
      </c>
      <c r="F183" s="51">
        <v>71.44</v>
      </c>
      <c r="G183" s="51">
        <v>1320.96</v>
      </c>
      <c r="H183" s="52" t="s">
        <v>491</v>
      </c>
      <c r="I183" s="53">
        <v>6418.24</v>
      </c>
      <c r="J183" s="51">
        <v>2596.4699999999998</v>
      </c>
      <c r="K183" s="51">
        <v>545.78</v>
      </c>
      <c r="L183" s="51" t="str">
        <f>IF(0.8*1320.96=0," ",TEXT(,ROUND((0.8*1320.96*3.1),2)))</f>
        <v>3275.98</v>
      </c>
      <c r="M183" s="51">
        <v>21.68</v>
      </c>
      <c r="N183" s="51">
        <v>17.34</v>
      </c>
    </row>
    <row r="184" spans="1:14" ht="67.5" x14ac:dyDescent="0.2">
      <c r="A184" s="49">
        <v>129</v>
      </c>
      <c r="B184" s="50" t="s">
        <v>492</v>
      </c>
      <c r="C184" s="50" t="s">
        <v>493</v>
      </c>
      <c r="D184" s="49">
        <v>-1.232</v>
      </c>
      <c r="E184" s="51">
        <v>542.4</v>
      </c>
      <c r="F184" s="51"/>
      <c r="G184" s="51">
        <v>542.4</v>
      </c>
      <c r="H184" s="52" t="s">
        <v>494</v>
      </c>
      <c r="I184" s="53">
        <v>-2245.27</v>
      </c>
      <c r="J184" s="51"/>
      <c r="K184" s="51"/>
      <c r="L184" s="51" t="str">
        <f>IF(-1.232*542.4=0," ",TEXT(,ROUND((-1.232*542.4*3.36),2)))</f>
        <v>-2245.28</v>
      </c>
      <c r="M184" s="51"/>
      <c r="N184" s="51"/>
    </row>
    <row r="185" spans="1:14" ht="56.25" x14ac:dyDescent="0.2">
      <c r="A185" s="49">
        <v>130</v>
      </c>
      <c r="B185" s="50" t="s">
        <v>170</v>
      </c>
      <c r="C185" s="50" t="s">
        <v>171</v>
      </c>
      <c r="D185" s="49">
        <v>-2.12E-2</v>
      </c>
      <c r="E185" s="51">
        <v>11000</v>
      </c>
      <c r="F185" s="51"/>
      <c r="G185" s="51">
        <v>11000</v>
      </c>
      <c r="H185" s="52" t="s">
        <v>172</v>
      </c>
      <c r="I185" s="53">
        <v>-636.4</v>
      </c>
      <c r="J185" s="51"/>
      <c r="K185" s="51"/>
      <c r="L185" s="51" t="str">
        <f>IF(-0.0212*11000=0," ",TEXT(,ROUND((-0.0212*11000*2.729),2)))</f>
        <v>-636.4</v>
      </c>
      <c r="M185" s="51"/>
      <c r="N185" s="51"/>
    </row>
    <row r="186" spans="1:14" ht="56.25" x14ac:dyDescent="0.2">
      <c r="A186" s="49">
        <v>131</v>
      </c>
      <c r="B186" s="50" t="s">
        <v>495</v>
      </c>
      <c r="C186" s="50" t="s">
        <v>496</v>
      </c>
      <c r="D186" s="49">
        <v>-0.624</v>
      </c>
      <c r="E186" s="51">
        <v>52.86</v>
      </c>
      <c r="F186" s="51"/>
      <c r="G186" s="51">
        <v>52.86</v>
      </c>
      <c r="H186" s="52" t="s">
        <v>497</v>
      </c>
      <c r="I186" s="53">
        <v>-106.94</v>
      </c>
      <c r="J186" s="51"/>
      <c r="K186" s="51"/>
      <c r="L186" s="51" t="str">
        <f>IF(-0.624*52.86=0," ",TEXT(,ROUND((-0.624*52.86*3.242),2)))</f>
        <v>-106.94</v>
      </c>
      <c r="M186" s="51"/>
      <c r="N186" s="51"/>
    </row>
    <row r="187" spans="1:14" ht="45" x14ac:dyDescent="0.2">
      <c r="A187" s="49">
        <v>132</v>
      </c>
      <c r="B187" s="50" t="s">
        <v>108</v>
      </c>
      <c r="C187" s="50" t="s">
        <v>498</v>
      </c>
      <c r="D187" s="49">
        <v>24.64</v>
      </c>
      <c r="E187" s="51">
        <v>27.07</v>
      </c>
      <c r="F187" s="51"/>
      <c r="G187" s="51">
        <v>27.07</v>
      </c>
      <c r="H187" s="52" t="s">
        <v>110</v>
      </c>
      <c r="I187" s="53">
        <v>3361.64</v>
      </c>
      <c r="J187" s="51"/>
      <c r="K187" s="51"/>
      <c r="L187" s="51" t="str">
        <f>IF(24.64*27.07=0," ",TEXT(,ROUND((24.64*27.07*5.04),2)))</f>
        <v>3361.7</v>
      </c>
      <c r="M187" s="51"/>
      <c r="N187" s="51"/>
    </row>
    <row r="188" spans="1:14" ht="17.850000000000001" customHeight="1" x14ac:dyDescent="0.2">
      <c r="A188" s="64" t="s">
        <v>499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</row>
    <row r="189" spans="1:14" ht="78.75" x14ac:dyDescent="0.2">
      <c r="A189" s="49">
        <v>133</v>
      </c>
      <c r="B189" s="50" t="s">
        <v>500</v>
      </c>
      <c r="C189" s="50" t="s">
        <v>501</v>
      </c>
      <c r="D189" s="49">
        <v>0.66</v>
      </c>
      <c r="E189" s="51" t="s">
        <v>502</v>
      </c>
      <c r="F189" s="51" t="s">
        <v>503</v>
      </c>
      <c r="G189" s="51">
        <v>64.52</v>
      </c>
      <c r="H189" s="52" t="s">
        <v>504</v>
      </c>
      <c r="I189" s="53">
        <v>1956.73</v>
      </c>
      <c r="J189" s="51">
        <v>1537.9</v>
      </c>
      <c r="K189" s="51" t="s">
        <v>505</v>
      </c>
      <c r="L189" s="51" t="str">
        <f>IF(0.66*64.52=0," ",TEXT(,ROUND((0.66*64.52*4.34),2)))</f>
        <v>184.81</v>
      </c>
      <c r="M189" s="51" t="s">
        <v>506</v>
      </c>
      <c r="N189" s="51" t="s">
        <v>507</v>
      </c>
    </row>
    <row r="190" spans="1:14" ht="56.25" x14ac:dyDescent="0.2">
      <c r="A190" s="49">
        <v>134</v>
      </c>
      <c r="B190" s="50" t="s">
        <v>508</v>
      </c>
      <c r="C190" s="50" t="s">
        <v>509</v>
      </c>
      <c r="D190" s="49">
        <v>66</v>
      </c>
      <c r="E190" s="51">
        <v>2.15</v>
      </c>
      <c r="F190" s="51"/>
      <c r="G190" s="51">
        <v>2.15</v>
      </c>
      <c r="H190" s="52" t="s">
        <v>510</v>
      </c>
      <c r="I190" s="53">
        <v>302.94</v>
      </c>
      <c r="J190" s="51"/>
      <c r="K190" s="51"/>
      <c r="L190" s="51" t="str">
        <f>IF(66*2.15=0," ",TEXT(,ROUND((66*2.15*2.137),2)))</f>
        <v>303.24</v>
      </c>
      <c r="M190" s="51"/>
      <c r="N190" s="51"/>
    </row>
    <row r="191" spans="1:14" ht="67.5" x14ac:dyDescent="0.2">
      <c r="A191" s="49">
        <v>135</v>
      </c>
      <c r="B191" s="50" t="s">
        <v>511</v>
      </c>
      <c r="C191" s="50" t="s">
        <v>512</v>
      </c>
      <c r="D191" s="49">
        <v>0.08</v>
      </c>
      <c r="E191" s="51" t="s">
        <v>513</v>
      </c>
      <c r="F191" s="51" t="s">
        <v>514</v>
      </c>
      <c r="G191" s="51">
        <v>69.930000000000007</v>
      </c>
      <c r="H191" s="52" t="s">
        <v>515</v>
      </c>
      <c r="I191" s="53">
        <v>248.14</v>
      </c>
      <c r="J191" s="51">
        <v>214.62</v>
      </c>
      <c r="K191" s="51" t="s">
        <v>516</v>
      </c>
      <c r="L191" s="51" t="str">
        <f>IF(0.08*69.93=0," ",TEXT(,ROUND((0.08*69.93*2.29),2)))</f>
        <v>12.81</v>
      </c>
      <c r="M191" s="51" t="s">
        <v>517</v>
      </c>
      <c r="N191" s="51">
        <v>1.47</v>
      </c>
    </row>
    <row r="192" spans="1:14" ht="56.25" x14ac:dyDescent="0.2">
      <c r="A192" s="49">
        <v>136</v>
      </c>
      <c r="B192" s="50" t="s">
        <v>518</v>
      </c>
      <c r="C192" s="50" t="s">
        <v>519</v>
      </c>
      <c r="D192" s="49">
        <v>8</v>
      </c>
      <c r="E192" s="51">
        <v>6.8</v>
      </c>
      <c r="F192" s="51"/>
      <c r="G192" s="51">
        <v>6.8</v>
      </c>
      <c r="H192" s="52" t="s">
        <v>520</v>
      </c>
      <c r="I192" s="53">
        <v>516.55999999999995</v>
      </c>
      <c r="J192" s="51"/>
      <c r="K192" s="51"/>
      <c r="L192" s="51" t="str">
        <f>IF(8*6.8=0," ",TEXT(,ROUND((8*6.8*9.495),2)))</f>
        <v>516.53</v>
      </c>
      <c r="M192" s="51"/>
      <c r="N192" s="51"/>
    </row>
    <row r="193" spans="1:14" ht="67.5" x14ac:dyDescent="0.2">
      <c r="A193" s="49">
        <v>137</v>
      </c>
      <c r="B193" s="50" t="s">
        <v>521</v>
      </c>
      <c r="C193" s="50" t="s">
        <v>522</v>
      </c>
      <c r="D193" s="49">
        <v>1.48</v>
      </c>
      <c r="E193" s="51" t="s">
        <v>523</v>
      </c>
      <c r="F193" s="51" t="s">
        <v>524</v>
      </c>
      <c r="G193" s="51">
        <v>12.82</v>
      </c>
      <c r="H193" s="52" t="s">
        <v>525</v>
      </c>
      <c r="I193" s="53">
        <v>704.63</v>
      </c>
      <c r="J193" s="51">
        <v>601.86</v>
      </c>
      <c r="K193" s="51" t="s">
        <v>526</v>
      </c>
      <c r="L193" s="51" t="str">
        <f>IF(1.48*12.82=0," ",TEXT(,ROUND((1.48*12.82*3.88),2)))</f>
        <v>73.62</v>
      </c>
      <c r="M193" s="51" t="s">
        <v>527</v>
      </c>
      <c r="N193" s="51" t="s">
        <v>528</v>
      </c>
    </row>
    <row r="194" spans="1:14" ht="90" x14ac:dyDescent="0.2">
      <c r="A194" s="49">
        <v>138</v>
      </c>
      <c r="B194" s="50" t="s">
        <v>529</v>
      </c>
      <c r="C194" s="50" t="s">
        <v>530</v>
      </c>
      <c r="D194" s="49">
        <v>0.12</v>
      </c>
      <c r="E194" s="51" t="s">
        <v>531</v>
      </c>
      <c r="F194" s="51" t="s">
        <v>532</v>
      </c>
      <c r="G194" s="51">
        <v>41.08</v>
      </c>
      <c r="H194" s="52" t="s">
        <v>533</v>
      </c>
      <c r="I194" s="53">
        <v>306.24</v>
      </c>
      <c r="J194" s="51">
        <v>285.51</v>
      </c>
      <c r="K194" s="51" t="s">
        <v>534</v>
      </c>
      <c r="L194" s="51" t="str">
        <f>IF(0.12*41.08=0," ",TEXT(,ROUND((0.12*41.08*3.25),2)))</f>
        <v>16.02</v>
      </c>
      <c r="M194" s="51" t="s">
        <v>535</v>
      </c>
      <c r="N194" s="51">
        <v>1.98</v>
      </c>
    </row>
    <row r="195" spans="1:14" ht="157.5" x14ac:dyDescent="0.2">
      <c r="A195" s="49">
        <v>139</v>
      </c>
      <c r="B195" s="50" t="s">
        <v>536</v>
      </c>
      <c r="C195" s="50" t="s">
        <v>537</v>
      </c>
      <c r="D195" s="49">
        <v>4.1000000000000002E-2</v>
      </c>
      <c r="E195" s="51">
        <v>4832.12</v>
      </c>
      <c r="F195" s="51"/>
      <c r="G195" s="51">
        <v>4832.12</v>
      </c>
      <c r="H195" s="52" t="s">
        <v>538</v>
      </c>
      <c r="I195" s="53">
        <v>808.91</v>
      </c>
      <c r="J195" s="51"/>
      <c r="K195" s="51"/>
      <c r="L195" s="51" t="str">
        <f>IF(0.041*4832.12=0," ",TEXT(,ROUND((0.041*4832.12*4.083),2)))</f>
        <v>808.91</v>
      </c>
      <c r="M195" s="51"/>
      <c r="N195" s="51"/>
    </row>
    <row r="196" spans="1:14" ht="157.5" x14ac:dyDescent="0.2">
      <c r="A196" s="49">
        <v>140</v>
      </c>
      <c r="B196" s="50" t="s">
        <v>539</v>
      </c>
      <c r="C196" s="50" t="s">
        <v>540</v>
      </c>
      <c r="D196" s="49">
        <v>1.2E-2</v>
      </c>
      <c r="E196" s="51">
        <v>6920.41</v>
      </c>
      <c r="F196" s="51"/>
      <c r="G196" s="51">
        <v>6920.41</v>
      </c>
      <c r="H196" s="52" t="s">
        <v>541</v>
      </c>
      <c r="I196" s="53">
        <v>353.69</v>
      </c>
      <c r="J196" s="51"/>
      <c r="K196" s="51"/>
      <c r="L196" s="51" t="str">
        <f>IF(0.012*6920.41=0," ",TEXT(,ROUND((0.012*6920.41*4.259),2)))</f>
        <v>353.69</v>
      </c>
      <c r="M196" s="51"/>
      <c r="N196" s="51"/>
    </row>
    <row r="197" spans="1:14" ht="157.5" x14ac:dyDescent="0.2">
      <c r="A197" s="49">
        <v>141</v>
      </c>
      <c r="B197" s="50" t="s">
        <v>542</v>
      </c>
      <c r="C197" s="50" t="s">
        <v>543</v>
      </c>
      <c r="D197" s="49">
        <v>0.02</v>
      </c>
      <c r="E197" s="51">
        <v>6557.53</v>
      </c>
      <c r="F197" s="51"/>
      <c r="G197" s="51">
        <v>6557.53</v>
      </c>
      <c r="H197" s="52" t="s">
        <v>544</v>
      </c>
      <c r="I197" s="53">
        <v>525</v>
      </c>
      <c r="J197" s="51"/>
      <c r="K197" s="51"/>
      <c r="L197" s="51" t="str">
        <f>IF(0.02*6557.53=0," ",TEXT(,ROUND((0.02*6557.53*4.003),2)))</f>
        <v>525</v>
      </c>
      <c r="M197" s="51"/>
      <c r="N197" s="51"/>
    </row>
    <row r="198" spans="1:14" ht="123.75" x14ac:dyDescent="0.2">
      <c r="A198" s="49">
        <v>142</v>
      </c>
      <c r="B198" s="50" t="s">
        <v>545</v>
      </c>
      <c r="C198" s="50" t="s">
        <v>546</v>
      </c>
      <c r="D198" s="49">
        <v>0.02</v>
      </c>
      <c r="E198" s="51">
        <v>1195.92</v>
      </c>
      <c r="F198" s="51"/>
      <c r="G198" s="51">
        <v>1195.92</v>
      </c>
      <c r="H198" s="52" t="s">
        <v>547</v>
      </c>
      <c r="I198" s="53">
        <v>72.59</v>
      </c>
      <c r="J198" s="51"/>
      <c r="K198" s="51"/>
      <c r="L198" s="51" t="str">
        <f>IF(0.02*1195.92=0," ",TEXT(,ROUND((0.02*1195.92*3.035),2)))</f>
        <v>72.59</v>
      </c>
      <c r="M198" s="51"/>
      <c r="N198" s="51"/>
    </row>
    <row r="199" spans="1:14" ht="45" x14ac:dyDescent="0.2">
      <c r="A199" s="49">
        <v>143</v>
      </c>
      <c r="B199" s="50" t="s">
        <v>548</v>
      </c>
      <c r="C199" s="50" t="s">
        <v>549</v>
      </c>
      <c r="D199" s="49">
        <v>41</v>
      </c>
      <c r="E199" s="51">
        <v>6.41</v>
      </c>
      <c r="F199" s="51"/>
      <c r="G199" s="51">
        <v>6.41</v>
      </c>
      <c r="H199" s="52" t="s">
        <v>110</v>
      </c>
      <c r="I199" s="53">
        <v>1324.71</v>
      </c>
      <c r="J199" s="51"/>
      <c r="K199" s="51"/>
      <c r="L199" s="51" t="str">
        <f>IF(41*6.41=0," ",TEXT(,ROUND((41*6.41*5.04),2)))</f>
        <v>1324.56</v>
      </c>
      <c r="M199" s="51"/>
      <c r="N199" s="51"/>
    </row>
    <row r="200" spans="1:14" ht="45" x14ac:dyDescent="0.2">
      <c r="A200" s="49">
        <v>144</v>
      </c>
      <c r="B200" s="50" t="s">
        <v>548</v>
      </c>
      <c r="C200" s="50" t="s">
        <v>550</v>
      </c>
      <c r="D200" s="49">
        <v>92</v>
      </c>
      <c r="E200" s="51">
        <v>2.37</v>
      </c>
      <c r="F200" s="51"/>
      <c r="G200" s="51">
        <v>2.37</v>
      </c>
      <c r="H200" s="52" t="s">
        <v>110</v>
      </c>
      <c r="I200" s="53">
        <v>1098.48</v>
      </c>
      <c r="J200" s="51"/>
      <c r="K200" s="51"/>
      <c r="L200" s="51" t="str">
        <f>IF(92*2.37=0," ",TEXT(,ROUND((92*2.37*5.04),2)))</f>
        <v>1098.92</v>
      </c>
      <c r="M200" s="51"/>
      <c r="N200" s="51"/>
    </row>
    <row r="201" spans="1:14" ht="78.75" x14ac:dyDescent="0.2">
      <c r="A201" s="49">
        <v>145</v>
      </c>
      <c r="B201" s="50" t="s">
        <v>551</v>
      </c>
      <c r="C201" s="50" t="s">
        <v>552</v>
      </c>
      <c r="D201" s="49">
        <v>0.41</v>
      </c>
      <c r="E201" s="51" t="s">
        <v>553</v>
      </c>
      <c r="F201" s="51"/>
      <c r="G201" s="51">
        <v>44.99</v>
      </c>
      <c r="H201" s="52" t="s">
        <v>554</v>
      </c>
      <c r="I201" s="53">
        <v>784.89</v>
      </c>
      <c r="J201" s="51">
        <v>714.98</v>
      </c>
      <c r="K201" s="51"/>
      <c r="L201" s="51" t="str">
        <f>IF(0.41*44.99=0," ",TEXT(,ROUND((0.41*44.99*3.79),2)))</f>
        <v>69.91</v>
      </c>
      <c r="M201" s="51">
        <v>11.3</v>
      </c>
      <c r="N201" s="51">
        <v>4.63</v>
      </c>
    </row>
    <row r="202" spans="1:14" ht="17.850000000000001" customHeight="1" x14ac:dyDescent="0.2">
      <c r="A202" s="64" t="s">
        <v>555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1:14" ht="135" x14ac:dyDescent="0.2">
      <c r="A203" s="49">
        <v>146</v>
      </c>
      <c r="B203" s="50" t="s">
        <v>556</v>
      </c>
      <c r="C203" s="50" t="s">
        <v>557</v>
      </c>
      <c r="D203" s="49">
        <v>1</v>
      </c>
      <c r="E203" s="51" t="s">
        <v>558</v>
      </c>
      <c r="F203" s="51"/>
      <c r="G203" s="51"/>
      <c r="H203" s="52" t="s">
        <v>559</v>
      </c>
      <c r="I203" s="53">
        <v>4372.13</v>
      </c>
      <c r="J203" s="51">
        <v>4372.13</v>
      </c>
      <c r="K203" s="51"/>
      <c r="L203" s="51" t="str">
        <f>IF(1*0=0," ",TEXT(,ROUND((1*0*1),2)))</f>
        <v xml:space="preserve"> </v>
      </c>
      <c r="M203" s="51">
        <v>20.100000000000001</v>
      </c>
      <c r="N203" s="51">
        <v>20.100000000000001</v>
      </c>
    </row>
    <row r="204" spans="1:14" ht="157.5" x14ac:dyDescent="0.2">
      <c r="A204" s="49">
        <v>147</v>
      </c>
      <c r="B204" s="50" t="s">
        <v>560</v>
      </c>
      <c r="C204" s="50" t="s">
        <v>561</v>
      </c>
      <c r="D204" s="49">
        <v>4</v>
      </c>
      <c r="E204" s="51" t="s">
        <v>562</v>
      </c>
      <c r="F204" s="51"/>
      <c r="G204" s="51"/>
      <c r="H204" s="52" t="s">
        <v>559</v>
      </c>
      <c r="I204" s="53">
        <v>8417.9599999999991</v>
      </c>
      <c r="J204" s="51">
        <v>8417.9599999999991</v>
      </c>
      <c r="K204" s="51"/>
      <c r="L204" s="51" t="str">
        <f>IF(4*0=0," ",TEXT(,ROUND((4*0*1),2)))</f>
        <v xml:space="preserve"> </v>
      </c>
      <c r="M204" s="51">
        <v>9.68</v>
      </c>
      <c r="N204" s="51">
        <v>38.72</v>
      </c>
    </row>
    <row r="205" spans="1:14" ht="135" x14ac:dyDescent="0.2">
      <c r="A205" s="49">
        <v>148</v>
      </c>
      <c r="B205" s="50" t="s">
        <v>563</v>
      </c>
      <c r="C205" s="50" t="s">
        <v>564</v>
      </c>
      <c r="D205" s="49">
        <v>1</v>
      </c>
      <c r="E205" s="51" t="s">
        <v>565</v>
      </c>
      <c r="F205" s="51"/>
      <c r="G205" s="51"/>
      <c r="H205" s="52" t="s">
        <v>559</v>
      </c>
      <c r="I205" s="53">
        <v>8469.7199999999993</v>
      </c>
      <c r="J205" s="51">
        <v>8469.7199999999993</v>
      </c>
      <c r="K205" s="51"/>
      <c r="L205" s="51" t="str">
        <f>IF(1*0=0," ",TEXT(,ROUND((1*0*1),2)))</f>
        <v xml:space="preserve"> </v>
      </c>
      <c r="M205" s="51">
        <v>37.31</v>
      </c>
      <c r="N205" s="51">
        <v>37.31</v>
      </c>
    </row>
    <row r="206" spans="1:14" ht="157.5" x14ac:dyDescent="0.2">
      <c r="A206" s="54">
        <v>149</v>
      </c>
      <c r="B206" s="55" t="s">
        <v>566</v>
      </c>
      <c r="C206" s="55" t="s">
        <v>567</v>
      </c>
      <c r="D206" s="54">
        <v>5</v>
      </c>
      <c r="E206" s="56" t="s">
        <v>568</v>
      </c>
      <c r="F206" s="56"/>
      <c r="G206" s="56"/>
      <c r="H206" s="57" t="s">
        <v>559</v>
      </c>
      <c r="I206" s="58">
        <v>20380.8</v>
      </c>
      <c r="J206" s="56">
        <v>20380.8</v>
      </c>
      <c r="K206" s="56"/>
      <c r="L206" s="56" t="str">
        <f>IF(5*0=0," ",TEXT(,ROUND((5*0*1),2)))</f>
        <v xml:space="preserve"> </v>
      </c>
      <c r="M206" s="56">
        <v>17.96</v>
      </c>
      <c r="N206" s="56">
        <v>89.8</v>
      </c>
    </row>
    <row r="207" spans="1:14" ht="22.5" x14ac:dyDescent="0.2">
      <c r="A207" s="66" t="s">
        <v>218</v>
      </c>
      <c r="B207" s="67"/>
      <c r="C207" s="67"/>
      <c r="D207" s="67"/>
      <c r="E207" s="67"/>
      <c r="F207" s="67"/>
      <c r="G207" s="67"/>
      <c r="H207" s="67"/>
      <c r="I207" s="53">
        <v>655166.98</v>
      </c>
      <c r="J207" s="51">
        <v>78881.789999999994</v>
      </c>
      <c r="K207" s="51" t="s">
        <v>569</v>
      </c>
      <c r="L207" s="51">
        <v>164658.66</v>
      </c>
      <c r="M207" s="51"/>
      <c r="N207" s="51" t="s">
        <v>570</v>
      </c>
    </row>
    <row r="208" spans="1:14" x14ac:dyDescent="0.2">
      <c r="A208" s="66" t="s">
        <v>221</v>
      </c>
      <c r="B208" s="67"/>
      <c r="C208" s="67"/>
      <c r="D208" s="67"/>
      <c r="E208" s="67"/>
      <c r="F208" s="67"/>
      <c r="G208" s="67"/>
      <c r="H208" s="67"/>
      <c r="I208" s="53">
        <v>56276.800000000003</v>
      </c>
      <c r="J208" s="51"/>
      <c r="K208" s="51"/>
      <c r="L208" s="51"/>
      <c r="M208" s="51"/>
      <c r="N208" s="51"/>
    </row>
    <row r="209" spans="1:14" x14ac:dyDescent="0.2">
      <c r="A209" s="66" t="s">
        <v>222</v>
      </c>
      <c r="B209" s="67"/>
      <c r="C209" s="67"/>
      <c r="D209" s="67"/>
      <c r="E209" s="67"/>
      <c r="F209" s="67"/>
      <c r="G209" s="67"/>
      <c r="H209" s="67"/>
      <c r="I209" s="53"/>
      <c r="J209" s="51"/>
      <c r="K209" s="51"/>
      <c r="L209" s="51"/>
      <c r="M209" s="51"/>
      <c r="N209" s="51"/>
    </row>
    <row r="210" spans="1:14" x14ac:dyDescent="0.2">
      <c r="A210" s="66" t="s">
        <v>571</v>
      </c>
      <c r="B210" s="67"/>
      <c r="C210" s="67"/>
      <c r="D210" s="67"/>
      <c r="E210" s="67"/>
      <c r="F210" s="67"/>
      <c r="G210" s="67"/>
      <c r="H210" s="67"/>
      <c r="I210" s="53">
        <v>22902.34</v>
      </c>
      <c r="J210" s="51"/>
      <c r="K210" s="51"/>
      <c r="L210" s="51"/>
      <c r="M210" s="51"/>
      <c r="N210" s="51"/>
    </row>
    <row r="211" spans="1:14" x14ac:dyDescent="0.2">
      <c r="A211" s="66" t="s">
        <v>572</v>
      </c>
      <c r="B211" s="67"/>
      <c r="C211" s="67"/>
      <c r="D211" s="67"/>
      <c r="E211" s="67"/>
      <c r="F211" s="67"/>
      <c r="G211" s="67"/>
      <c r="H211" s="67"/>
      <c r="I211" s="53">
        <v>781.24</v>
      </c>
      <c r="J211" s="51"/>
      <c r="K211" s="51"/>
      <c r="L211" s="51"/>
      <c r="M211" s="51"/>
      <c r="N211" s="51"/>
    </row>
    <row r="212" spans="1:14" x14ac:dyDescent="0.2">
      <c r="A212" s="66" t="s">
        <v>573</v>
      </c>
      <c r="B212" s="67"/>
      <c r="C212" s="67"/>
      <c r="D212" s="67"/>
      <c r="E212" s="67"/>
      <c r="F212" s="67"/>
      <c r="G212" s="67"/>
      <c r="H212" s="67"/>
      <c r="I212" s="53">
        <v>3826.18</v>
      </c>
      <c r="J212" s="51"/>
      <c r="K212" s="51"/>
      <c r="L212" s="51"/>
      <c r="M212" s="51"/>
      <c r="N212" s="51"/>
    </row>
    <row r="213" spans="1:14" x14ac:dyDescent="0.2">
      <c r="A213" s="66" t="s">
        <v>574</v>
      </c>
      <c r="B213" s="67"/>
      <c r="C213" s="67"/>
      <c r="D213" s="67"/>
      <c r="E213" s="67"/>
      <c r="F213" s="67"/>
      <c r="G213" s="67"/>
      <c r="H213" s="67"/>
      <c r="I213" s="53">
        <v>105.49</v>
      </c>
      <c r="J213" s="51"/>
      <c r="K213" s="51"/>
      <c r="L213" s="51"/>
      <c r="M213" s="51"/>
      <c r="N213" s="51"/>
    </row>
    <row r="214" spans="1:14" x14ac:dyDescent="0.2">
      <c r="A214" s="66" t="s">
        <v>575</v>
      </c>
      <c r="B214" s="67"/>
      <c r="C214" s="67"/>
      <c r="D214" s="67"/>
      <c r="E214" s="67"/>
      <c r="F214" s="67"/>
      <c r="G214" s="67"/>
      <c r="H214" s="67"/>
      <c r="I214" s="53">
        <v>3271.43</v>
      </c>
      <c r="J214" s="51"/>
      <c r="K214" s="51"/>
      <c r="L214" s="51"/>
      <c r="M214" s="51"/>
      <c r="N214" s="51"/>
    </row>
    <row r="215" spans="1:14" x14ac:dyDescent="0.2">
      <c r="A215" s="66" t="s">
        <v>576</v>
      </c>
      <c r="B215" s="67"/>
      <c r="C215" s="67"/>
      <c r="D215" s="67"/>
      <c r="E215" s="67"/>
      <c r="F215" s="67"/>
      <c r="G215" s="67"/>
      <c r="H215" s="67"/>
      <c r="I215" s="53">
        <v>1999.28</v>
      </c>
      <c r="J215" s="51"/>
      <c r="K215" s="51"/>
      <c r="L215" s="51"/>
      <c r="M215" s="51"/>
      <c r="N215" s="51"/>
    </row>
    <row r="216" spans="1:14" x14ac:dyDescent="0.2">
      <c r="A216" s="66" t="s">
        <v>577</v>
      </c>
      <c r="B216" s="67"/>
      <c r="C216" s="67"/>
      <c r="D216" s="67"/>
      <c r="E216" s="67"/>
      <c r="F216" s="67"/>
      <c r="G216" s="67"/>
      <c r="H216" s="67"/>
      <c r="I216" s="53">
        <v>23390.84</v>
      </c>
      <c r="J216" s="51"/>
      <c r="K216" s="51"/>
      <c r="L216" s="51"/>
      <c r="M216" s="51"/>
      <c r="N216" s="51"/>
    </row>
    <row r="217" spans="1:14" x14ac:dyDescent="0.2">
      <c r="A217" s="66" t="s">
        <v>229</v>
      </c>
      <c r="B217" s="67"/>
      <c r="C217" s="67"/>
      <c r="D217" s="67"/>
      <c r="E217" s="67"/>
      <c r="F217" s="67"/>
      <c r="G217" s="67"/>
      <c r="H217" s="67"/>
      <c r="I217" s="53">
        <v>33307.910000000003</v>
      </c>
      <c r="J217" s="51"/>
      <c r="K217" s="51"/>
      <c r="L217" s="51"/>
      <c r="M217" s="51"/>
      <c r="N217" s="51"/>
    </row>
    <row r="218" spans="1:14" x14ac:dyDescent="0.2">
      <c r="A218" s="66" t="s">
        <v>222</v>
      </c>
      <c r="B218" s="67"/>
      <c r="C218" s="67"/>
      <c r="D218" s="67"/>
      <c r="E218" s="67"/>
      <c r="F218" s="67"/>
      <c r="G218" s="67"/>
      <c r="H218" s="67"/>
      <c r="I218" s="53"/>
      <c r="J218" s="51"/>
      <c r="K218" s="51"/>
      <c r="L218" s="51"/>
      <c r="M218" s="51"/>
      <c r="N218" s="51"/>
    </row>
    <row r="219" spans="1:14" x14ac:dyDescent="0.2">
      <c r="A219" s="66" t="s">
        <v>578</v>
      </c>
      <c r="B219" s="67"/>
      <c r="C219" s="67"/>
      <c r="D219" s="67"/>
      <c r="E219" s="67"/>
      <c r="F219" s="67"/>
      <c r="G219" s="67"/>
      <c r="H219" s="67"/>
      <c r="I219" s="53">
        <v>13325</v>
      </c>
      <c r="J219" s="51"/>
      <c r="K219" s="51"/>
      <c r="L219" s="51"/>
      <c r="M219" s="51"/>
      <c r="N219" s="51"/>
    </row>
    <row r="220" spans="1:14" x14ac:dyDescent="0.2">
      <c r="A220" s="66" t="s">
        <v>579</v>
      </c>
      <c r="B220" s="67"/>
      <c r="C220" s="67"/>
      <c r="D220" s="67"/>
      <c r="E220" s="67"/>
      <c r="F220" s="67"/>
      <c r="G220" s="67"/>
      <c r="H220" s="67"/>
      <c r="I220" s="53">
        <v>496.02</v>
      </c>
      <c r="J220" s="51"/>
      <c r="K220" s="51"/>
      <c r="L220" s="51"/>
      <c r="M220" s="51"/>
      <c r="N220" s="51"/>
    </row>
    <row r="221" spans="1:14" x14ac:dyDescent="0.2">
      <c r="A221" s="66" t="s">
        <v>580</v>
      </c>
      <c r="B221" s="67"/>
      <c r="C221" s="67"/>
      <c r="D221" s="67"/>
      <c r="E221" s="67"/>
      <c r="F221" s="67"/>
      <c r="G221" s="67"/>
      <c r="H221" s="67"/>
      <c r="I221" s="53">
        <v>2700.83</v>
      </c>
      <c r="J221" s="51"/>
      <c r="K221" s="51"/>
      <c r="L221" s="51"/>
      <c r="M221" s="51"/>
      <c r="N221" s="51"/>
    </row>
    <row r="222" spans="1:14" x14ac:dyDescent="0.2">
      <c r="A222" s="66" t="s">
        <v>581</v>
      </c>
      <c r="B222" s="67"/>
      <c r="C222" s="67"/>
      <c r="D222" s="67"/>
      <c r="E222" s="67"/>
      <c r="F222" s="67"/>
      <c r="G222" s="67"/>
      <c r="H222" s="67"/>
      <c r="I222" s="53">
        <v>2100.1799999999998</v>
      </c>
      <c r="J222" s="51"/>
      <c r="K222" s="51"/>
      <c r="L222" s="51"/>
      <c r="M222" s="51"/>
      <c r="N222" s="51"/>
    </row>
    <row r="223" spans="1:14" x14ac:dyDescent="0.2">
      <c r="A223" s="66" t="s">
        <v>582</v>
      </c>
      <c r="B223" s="67"/>
      <c r="C223" s="67"/>
      <c r="D223" s="67"/>
      <c r="E223" s="67"/>
      <c r="F223" s="67"/>
      <c r="G223" s="67"/>
      <c r="H223" s="67"/>
      <c r="I223" s="53">
        <v>1319.69</v>
      </c>
      <c r="J223" s="51"/>
      <c r="K223" s="51"/>
      <c r="L223" s="51"/>
      <c r="M223" s="51"/>
      <c r="N223" s="51"/>
    </row>
    <row r="224" spans="1:14" x14ac:dyDescent="0.2">
      <c r="A224" s="66" t="s">
        <v>583</v>
      </c>
      <c r="B224" s="67"/>
      <c r="C224" s="67"/>
      <c r="D224" s="67"/>
      <c r="E224" s="67"/>
      <c r="F224" s="67"/>
      <c r="G224" s="67"/>
      <c r="H224" s="67"/>
      <c r="I224" s="53">
        <v>13366.19</v>
      </c>
      <c r="J224" s="51"/>
      <c r="K224" s="51"/>
      <c r="L224" s="51"/>
      <c r="M224" s="51"/>
      <c r="N224" s="51"/>
    </row>
    <row r="225" spans="1:14" x14ac:dyDescent="0.2">
      <c r="A225" s="90" t="s">
        <v>584</v>
      </c>
      <c r="B225" s="63"/>
      <c r="C225" s="63"/>
      <c r="D225" s="63"/>
      <c r="E225" s="63"/>
      <c r="F225" s="63"/>
      <c r="G225" s="63"/>
      <c r="H225" s="63"/>
      <c r="I225" s="53"/>
      <c r="J225" s="51"/>
      <c r="K225" s="51"/>
      <c r="L225" s="51"/>
      <c r="M225" s="51"/>
      <c r="N225" s="51"/>
    </row>
    <row r="226" spans="1:14" ht="22.5" x14ac:dyDescent="0.2">
      <c r="A226" s="66" t="s">
        <v>235</v>
      </c>
      <c r="B226" s="67"/>
      <c r="C226" s="67"/>
      <c r="D226" s="67"/>
      <c r="E226" s="67"/>
      <c r="F226" s="67"/>
      <c r="G226" s="67"/>
      <c r="H226" s="67"/>
      <c r="I226" s="53">
        <v>236120.22</v>
      </c>
      <c r="J226" s="51"/>
      <c r="K226" s="51"/>
      <c r="L226" s="51"/>
      <c r="M226" s="51"/>
      <c r="N226" s="51" t="s">
        <v>585</v>
      </c>
    </row>
    <row r="227" spans="1:14" ht="22.5" x14ac:dyDescent="0.2">
      <c r="A227" s="66" t="s">
        <v>237</v>
      </c>
      <c r="B227" s="67"/>
      <c r="C227" s="67"/>
      <c r="D227" s="67"/>
      <c r="E227" s="67"/>
      <c r="F227" s="67"/>
      <c r="G227" s="67"/>
      <c r="H227" s="67"/>
      <c r="I227" s="53">
        <v>24376.45</v>
      </c>
      <c r="J227" s="51"/>
      <c r="K227" s="51"/>
      <c r="L227" s="51"/>
      <c r="M227" s="51"/>
      <c r="N227" s="51" t="s">
        <v>586</v>
      </c>
    </row>
    <row r="228" spans="1:14" x14ac:dyDescent="0.2">
      <c r="A228" s="66" t="s">
        <v>587</v>
      </c>
      <c r="B228" s="67"/>
      <c r="C228" s="67"/>
      <c r="D228" s="67"/>
      <c r="E228" s="67"/>
      <c r="F228" s="67"/>
      <c r="G228" s="67"/>
      <c r="H228" s="67"/>
      <c r="I228" s="53">
        <v>406387.07</v>
      </c>
      <c r="J228" s="51"/>
      <c r="K228" s="51"/>
      <c r="L228" s="51"/>
      <c r="M228" s="51"/>
      <c r="N228" s="51"/>
    </row>
    <row r="229" spans="1:14" x14ac:dyDescent="0.2">
      <c r="A229" s="66" t="s">
        <v>588</v>
      </c>
      <c r="B229" s="67"/>
      <c r="C229" s="67"/>
      <c r="D229" s="67"/>
      <c r="E229" s="67"/>
      <c r="F229" s="67"/>
      <c r="G229" s="67"/>
      <c r="H229" s="67"/>
      <c r="I229" s="53">
        <v>77867.95</v>
      </c>
      <c r="J229" s="51"/>
      <c r="K229" s="51"/>
      <c r="L229" s="51"/>
      <c r="M229" s="51"/>
      <c r="N229" s="51">
        <v>185.93</v>
      </c>
    </row>
    <row r="230" spans="1:14" ht="22.5" x14ac:dyDescent="0.2">
      <c r="A230" s="66" t="s">
        <v>238</v>
      </c>
      <c r="B230" s="67"/>
      <c r="C230" s="67"/>
      <c r="D230" s="67"/>
      <c r="E230" s="67"/>
      <c r="F230" s="67"/>
      <c r="G230" s="67"/>
      <c r="H230" s="67"/>
      <c r="I230" s="53">
        <v>744751.69</v>
      </c>
      <c r="J230" s="51"/>
      <c r="K230" s="51"/>
      <c r="L230" s="51"/>
      <c r="M230" s="51"/>
      <c r="N230" s="51" t="s">
        <v>570</v>
      </c>
    </row>
    <row r="231" spans="1:14" x14ac:dyDescent="0.2">
      <c r="A231" s="66" t="s">
        <v>239</v>
      </c>
      <c r="B231" s="67"/>
      <c r="C231" s="67"/>
      <c r="D231" s="67"/>
      <c r="E231" s="67"/>
      <c r="F231" s="67"/>
      <c r="G231" s="67"/>
      <c r="H231" s="67"/>
      <c r="I231" s="53"/>
      <c r="J231" s="51"/>
      <c r="K231" s="51"/>
      <c r="L231" s="51"/>
      <c r="M231" s="51"/>
      <c r="N231" s="51"/>
    </row>
    <row r="232" spans="1:14" x14ac:dyDescent="0.2">
      <c r="A232" s="66" t="s">
        <v>240</v>
      </c>
      <c r="B232" s="67"/>
      <c r="C232" s="67"/>
      <c r="D232" s="67"/>
      <c r="E232" s="67"/>
      <c r="F232" s="67"/>
      <c r="G232" s="67"/>
      <c r="H232" s="67"/>
      <c r="I232" s="53">
        <v>164658.66</v>
      </c>
      <c r="J232" s="51"/>
      <c r="K232" s="51"/>
      <c r="L232" s="51"/>
      <c r="M232" s="51"/>
      <c r="N232" s="51"/>
    </row>
    <row r="233" spans="1:14" x14ac:dyDescent="0.2">
      <c r="A233" s="66" t="s">
        <v>241</v>
      </c>
      <c r="B233" s="67"/>
      <c r="C233" s="67"/>
      <c r="D233" s="67"/>
      <c r="E233" s="67"/>
      <c r="F233" s="67"/>
      <c r="G233" s="67"/>
      <c r="H233" s="67"/>
      <c r="I233" s="53">
        <v>5239.46</v>
      </c>
      <c r="J233" s="51"/>
      <c r="K233" s="51"/>
      <c r="L233" s="51"/>
      <c r="M233" s="51"/>
      <c r="N233" s="51"/>
    </row>
    <row r="234" spans="1:14" x14ac:dyDescent="0.2">
      <c r="A234" s="66" t="s">
        <v>242</v>
      </c>
      <c r="B234" s="67"/>
      <c r="C234" s="67"/>
      <c r="D234" s="67"/>
      <c r="E234" s="67"/>
      <c r="F234" s="67"/>
      <c r="G234" s="67"/>
      <c r="H234" s="67"/>
      <c r="I234" s="53">
        <v>79163.75</v>
      </c>
      <c r="J234" s="51"/>
      <c r="K234" s="51"/>
      <c r="L234" s="51"/>
      <c r="M234" s="51"/>
      <c r="N234" s="51"/>
    </row>
    <row r="235" spans="1:14" x14ac:dyDescent="0.2">
      <c r="A235" s="66" t="s">
        <v>589</v>
      </c>
      <c r="B235" s="67"/>
      <c r="C235" s="67"/>
      <c r="D235" s="67"/>
      <c r="E235" s="67"/>
      <c r="F235" s="67"/>
      <c r="G235" s="67"/>
      <c r="H235" s="67"/>
      <c r="I235" s="53">
        <v>406387.07</v>
      </c>
      <c r="J235" s="51"/>
      <c r="K235" s="51"/>
      <c r="L235" s="51"/>
      <c r="M235" s="51"/>
      <c r="N235" s="51"/>
    </row>
    <row r="236" spans="1:14" x14ac:dyDescent="0.2">
      <c r="A236" s="66" t="s">
        <v>243</v>
      </c>
      <c r="B236" s="67"/>
      <c r="C236" s="67"/>
      <c r="D236" s="67"/>
      <c r="E236" s="67"/>
      <c r="F236" s="67"/>
      <c r="G236" s="67"/>
      <c r="H236" s="67"/>
      <c r="I236" s="53">
        <v>56276.800000000003</v>
      </c>
      <c r="J236" s="51"/>
      <c r="K236" s="51"/>
      <c r="L236" s="51"/>
      <c r="M236" s="51"/>
      <c r="N236" s="51"/>
    </row>
    <row r="237" spans="1:14" x14ac:dyDescent="0.2">
      <c r="A237" s="66" t="s">
        <v>244</v>
      </c>
      <c r="B237" s="67"/>
      <c r="C237" s="67"/>
      <c r="D237" s="67"/>
      <c r="E237" s="67"/>
      <c r="F237" s="67"/>
      <c r="G237" s="67"/>
      <c r="H237" s="67"/>
      <c r="I237" s="53">
        <v>33307.910000000003</v>
      </c>
      <c r="J237" s="51"/>
      <c r="K237" s="51"/>
      <c r="L237" s="51"/>
      <c r="M237" s="51"/>
      <c r="N237" s="51"/>
    </row>
    <row r="238" spans="1:14" ht="22.5" x14ac:dyDescent="0.2">
      <c r="A238" s="88" t="s">
        <v>590</v>
      </c>
      <c r="B238" s="89"/>
      <c r="C238" s="89"/>
      <c r="D238" s="89"/>
      <c r="E238" s="89"/>
      <c r="F238" s="89"/>
      <c r="G238" s="89"/>
      <c r="H238" s="89"/>
      <c r="I238" s="58">
        <v>744751.69</v>
      </c>
      <c r="J238" s="56"/>
      <c r="K238" s="56"/>
      <c r="L238" s="56"/>
      <c r="M238" s="56"/>
      <c r="N238" s="56" t="s">
        <v>570</v>
      </c>
    </row>
    <row r="239" spans="1:14" ht="17.850000000000001" customHeight="1" x14ac:dyDescent="0.2">
      <c r="A239" s="62" t="s">
        <v>591</v>
      </c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</row>
    <row r="240" spans="1:14" ht="78.75" x14ac:dyDescent="0.2">
      <c r="A240" s="49">
        <v>150</v>
      </c>
      <c r="B240" s="50" t="s">
        <v>592</v>
      </c>
      <c r="C240" s="50" t="s">
        <v>593</v>
      </c>
      <c r="D240" s="49">
        <v>12</v>
      </c>
      <c r="E240" s="51" t="s">
        <v>594</v>
      </c>
      <c r="F240" s="51"/>
      <c r="G240" s="51"/>
      <c r="H240" s="52" t="s">
        <v>595</v>
      </c>
      <c r="I240" s="53">
        <v>7911.72</v>
      </c>
      <c r="J240" s="51">
        <v>7911.72</v>
      </c>
      <c r="K240" s="51"/>
      <c r="L240" s="51" t="str">
        <f>IF(12*0=0," ",TEXT(,ROUND((12*0*1),2)))</f>
        <v xml:space="preserve"> </v>
      </c>
      <c r="M240" s="51"/>
      <c r="N240" s="51"/>
    </row>
    <row r="241" spans="1:14" ht="112.5" x14ac:dyDescent="0.2">
      <c r="A241" s="54">
        <v>151</v>
      </c>
      <c r="B241" s="55" t="s">
        <v>596</v>
      </c>
      <c r="C241" s="55" t="s">
        <v>597</v>
      </c>
      <c r="D241" s="54">
        <v>12</v>
      </c>
      <c r="E241" s="56">
        <v>6.69</v>
      </c>
      <c r="F241" s="56">
        <v>6.69</v>
      </c>
      <c r="G241" s="56"/>
      <c r="H241" s="57" t="s">
        <v>598</v>
      </c>
      <c r="I241" s="58">
        <v>651.84</v>
      </c>
      <c r="J241" s="56"/>
      <c r="K241" s="56">
        <v>651.84</v>
      </c>
      <c r="L241" s="56" t="str">
        <f>IF(12*0=0," ",TEXT(,ROUND((12*0*1),2)))</f>
        <v xml:space="preserve"> </v>
      </c>
      <c r="M241" s="56"/>
      <c r="N241" s="56"/>
    </row>
    <row r="242" spans="1:14" x14ac:dyDescent="0.2">
      <c r="A242" s="66" t="s">
        <v>218</v>
      </c>
      <c r="B242" s="67"/>
      <c r="C242" s="67"/>
      <c r="D242" s="67"/>
      <c r="E242" s="67"/>
      <c r="F242" s="67"/>
      <c r="G242" s="67"/>
      <c r="H242" s="67"/>
      <c r="I242" s="53">
        <v>8563.56</v>
      </c>
      <c r="J242" s="51">
        <v>7911.72</v>
      </c>
      <c r="K242" s="51">
        <v>651.84</v>
      </c>
      <c r="L242" s="51"/>
      <c r="M242" s="51"/>
      <c r="N242" s="51"/>
    </row>
    <row r="243" spans="1:14" x14ac:dyDescent="0.2">
      <c r="A243" s="90" t="s">
        <v>599</v>
      </c>
      <c r="B243" s="63"/>
      <c r="C243" s="63"/>
      <c r="D243" s="63"/>
      <c r="E243" s="63"/>
      <c r="F243" s="63"/>
      <c r="G243" s="63"/>
      <c r="H243" s="63"/>
      <c r="I243" s="53"/>
      <c r="J243" s="51"/>
      <c r="K243" s="51"/>
      <c r="L243" s="51"/>
      <c r="M243" s="51"/>
      <c r="N243" s="51"/>
    </row>
    <row r="244" spans="1:14" x14ac:dyDescent="0.2">
      <c r="A244" s="66" t="s">
        <v>600</v>
      </c>
      <c r="B244" s="67"/>
      <c r="C244" s="67"/>
      <c r="D244" s="67"/>
      <c r="E244" s="67"/>
      <c r="F244" s="67"/>
      <c r="G244" s="67"/>
      <c r="H244" s="67"/>
      <c r="I244" s="53">
        <v>7911.72</v>
      </c>
      <c r="J244" s="51"/>
      <c r="K244" s="51"/>
      <c r="L244" s="51"/>
      <c r="M244" s="51"/>
      <c r="N244" s="51"/>
    </row>
    <row r="245" spans="1:14" x14ac:dyDescent="0.2">
      <c r="A245" s="66" t="s">
        <v>601</v>
      </c>
      <c r="B245" s="67"/>
      <c r="C245" s="67"/>
      <c r="D245" s="67"/>
      <c r="E245" s="67"/>
      <c r="F245" s="67"/>
      <c r="G245" s="67"/>
      <c r="H245" s="67"/>
      <c r="I245" s="53">
        <v>651.84</v>
      </c>
      <c r="J245" s="51"/>
      <c r="K245" s="51"/>
      <c r="L245" s="51"/>
      <c r="M245" s="51"/>
      <c r="N245" s="51"/>
    </row>
    <row r="246" spans="1:14" x14ac:dyDescent="0.2">
      <c r="A246" s="66" t="s">
        <v>238</v>
      </c>
      <c r="B246" s="67"/>
      <c r="C246" s="67"/>
      <c r="D246" s="67"/>
      <c r="E246" s="67"/>
      <c r="F246" s="67"/>
      <c r="G246" s="67"/>
      <c r="H246" s="67"/>
      <c r="I246" s="53">
        <v>8563.56</v>
      </c>
      <c r="J246" s="51"/>
      <c r="K246" s="51"/>
      <c r="L246" s="51"/>
      <c r="M246" s="51"/>
      <c r="N246" s="51"/>
    </row>
    <row r="247" spans="1:14" x14ac:dyDescent="0.2">
      <c r="A247" s="66" t="s">
        <v>239</v>
      </c>
      <c r="B247" s="67"/>
      <c r="C247" s="67"/>
      <c r="D247" s="67"/>
      <c r="E247" s="67"/>
      <c r="F247" s="67"/>
      <c r="G247" s="67"/>
      <c r="H247" s="67"/>
      <c r="I247" s="53"/>
      <c r="J247" s="51"/>
      <c r="K247" s="51"/>
      <c r="L247" s="51"/>
      <c r="M247" s="51"/>
      <c r="N247" s="51"/>
    </row>
    <row r="248" spans="1:14" x14ac:dyDescent="0.2">
      <c r="A248" s="66" t="s">
        <v>241</v>
      </c>
      <c r="B248" s="67"/>
      <c r="C248" s="67"/>
      <c r="D248" s="67"/>
      <c r="E248" s="67"/>
      <c r="F248" s="67"/>
      <c r="G248" s="67"/>
      <c r="H248" s="67"/>
      <c r="I248" s="53">
        <v>651.84</v>
      </c>
      <c r="J248" s="51"/>
      <c r="K248" s="51"/>
      <c r="L248" s="51"/>
      <c r="M248" s="51"/>
      <c r="N248" s="51"/>
    </row>
    <row r="249" spans="1:14" x14ac:dyDescent="0.2">
      <c r="A249" s="66" t="s">
        <v>242</v>
      </c>
      <c r="B249" s="67"/>
      <c r="C249" s="67"/>
      <c r="D249" s="67"/>
      <c r="E249" s="67"/>
      <c r="F249" s="67"/>
      <c r="G249" s="67"/>
      <c r="H249" s="67"/>
      <c r="I249" s="53">
        <v>7911.72</v>
      </c>
      <c r="J249" s="51"/>
      <c r="K249" s="51"/>
      <c r="L249" s="51"/>
      <c r="M249" s="51"/>
      <c r="N249" s="51"/>
    </row>
    <row r="250" spans="1:14" x14ac:dyDescent="0.2">
      <c r="A250" s="88" t="s">
        <v>602</v>
      </c>
      <c r="B250" s="89"/>
      <c r="C250" s="89"/>
      <c r="D250" s="89"/>
      <c r="E250" s="89"/>
      <c r="F250" s="89"/>
      <c r="G250" s="89"/>
      <c r="H250" s="89"/>
      <c r="I250" s="58">
        <v>8563.56</v>
      </c>
      <c r="J250" s="56"/>
      <c r="K250" s="56"/>
      <c r="L250" s="56"/>
      <c r="M250" s="56"/>
      <c r="N250" s="56"/>
    </row>
    <row r="251" spans="1:14" ht="33.75" x14ac:dyDescent="0.2">
      <c r="A251" s="91" t="s">
        <v>603</v>
      </c>
      <c r="B251" s="67"/>
      <c r="C251" s="67"/>
      <c r="D251" s="67"/>
      <c r="E251" s="67"/>
      <c r="F251" s="67"/>
      <c r="G251" s="67"/>
      <c r="H251" s="67"/>
      <c r="I251" s="59">
        <v>1889983.62</v>
      </c>
      <c r="J251" s="59">
        <v>346154.48</v>
      </c>
      <c r="K251" s="59" t="s">
        <v>604</v>
      </c>
      <c r="L251" s="59">
        <v>1084725.67</v>
      </c>
      <c r="M251" s="59"/>
      <c r="N251" s="59" t="s">
        <v>605</v>
      </c>
    </row>
    <row r="252" spans="1:14" x14ac:dyDescent="0.2">
      <c r="A252" s="91" t="s">
        <v>221</v>
      </c>
      <c r="B252" s="67"/>
      <c r="C252" s="67"/>
      <c r="D252" s="67"/>
      <c r="E252" s="67"/>
      <c r="F252" s="67"/>
      <c r="G252" s="67"/>
      <c r="H252" s="67"/>
      <c r="I252" s="59">
        <v>273477.44</v>
      </c>
      <c r="J252" s="59"/>
      <c r="K252" s="59"/>
      <c r="L252" s="59"/>
      <c r="M252" s="59"/>
      <c r="N252" s="59"/>
    </row>
    <row r="253" spans="1:14" x14ac:dyDescent="0.2">
      <c r="A253" s="91" t="s">
        <v>222</v>
      </c>
      <c r="B253" s="67"/>
      <c r="C253" s="67"/>
      <c r="D253" s="67"/>
      <c r="E253" s="67"/>
      <c r="F253" s="67"/>
      <c r="G253" s="67"/>
      <c r="H253" s="67"/>
      <c r="I253" s="59"/>
      <c r="J253" s="59"/>
      <c r="K253" s="59"/>
      <c r="L253" s="59"/>
      <c r="M253" s="59"/>
      <c r="N253" s="59"/>
    </row>
    <row r="254" spans="1:14" x14ac:dyDescent="0.2">
      <c r="A254" s="91" t="s">
        <v>571</v>
      </c>
      <c r="B254" s="67"/>
      <c r="C254" s="67"/>
      <c r="D254" s="67"/>
      <c r="E254" s="67"/>
      <c r="F254" s="67"/>
      <c r="G254" s="67"/>
      <c r="H254" s="67"/>
      <c r="I254" s="59">
        <v>22902.34</v>
      </c>
      <c r="J254" s="59"/>
      <c r="K254" s="59"/>
      <c r="L254" s="59"/>
      <c r="M254" s="59"/>
      <c r="N254" s="59"/>
    </row>
    <row r="255" spans="1:14" x14ac:dyDescent="0.2">
      <c r="A255" s="91" t="s">
        <v>606</v>
      </c>
      <c r="B255" s="67"/>
      <c r="C255" s="67"/>
      <c r="D255" s="67"/>
      <c r="E255" s="67"/>
      <c r="F255" s="67"/>
      <c r="G255" s="67"/>
      <c r="H255" s="67"/>
      <c r="I255" s="59">
        <v>59504.51</v>
      </c>
      <c r="J255" s="59"/>
      <c r="K255" s="59"/>
      <c r="L255" s="59"/>
      <c r="M255" s="59"/>
      <c r="N255" s="59"/>
    </row>
    <row r="256" spans="1:14" x14ac:dyDescent="0.2">
      <c r="A256" s="91" t="s">
        <v>607</v>
      </c>
      <c r="B256" s="67"/>
      <c r="C256" s="67"/>
      <c r="D256" s="67"/>
      <c r="E256" s="67"/>
      <c r="F256" s="67"/>
      <c r="G256" s="67"/>
      <c r="H256" s="67"/>
      <c r="I256" s="59">
        <v>4782.09</v>
      </c>
      <c r="J256" s="59"/>
      <c r="K256" s="59"/>
      <c r="L256" s="59"/>
      <c r="M256" s="59"/>
      <c r="N256" s="59"/>
    </row>
    <row r="257" spans="1:14" x14ac:dyDescent="0.2">
      <c r="A257" s="91" t="s">
        <v>608</v>
      </c>
      <c r="B257" s="67"/>
      <c r="C257" s="67"/>
      <c r="D257" s="67"/>
      <c r="E257" s="67"/>
      <c r="F257" s="67"/>
      <c r="G257" s="67"/>
      <c r="H257" s="67"/>
      <c r="I257" s="59">
        <v>1845.9</v>
      </c>
      <c r="J257" s="59"/>
      <c r="K257" s="59"/>
      <c r="L257" s="59"/>
      <c r="M257" s="59"/>
      <c r="N257" s="59"/>
    </row>
    <row r="258" spans="1:14" x14ac:dyDescent="0.2">
      <c r="A258" s="91" t="s">
        <v>575</v>
      </c>
      <c r="B258" s="67"/>
      <c r="C258" s="67"/>
      <c r="D258" s="67"/>
      <c r="E258" s="67"/>
      <c r="F258" s="67"/>
      <c r="G258" s="67"/>
      <c r="H258" s="67"/>
      <c r="I258" s="59">
        <v>3271.43</v>
      </c>
      <c r="J258" s="59"/>
      <c r="K258" s="59"/>
      <c r="L258" s="59"/>
      <c r="M258" s="59"/>
      <c r="N258" s="59"/>
    </row>
    <row r="259" spans="1:14" x14ac:dyDescent="0.2">
      <c r="A259" s="91" t="s">
        <v>609</v>
      </c>
      <c r="B259" s="67"/>
      <c r="C259" s="67"/>
      <c r="D259" s="67"/>
      <c r="E259" s="67"/>
      <c r="F259" s="67"/>
      <c r="G259" s="67"/>
      <c r="H259" s="67"/>
      <c r="I259" s="59">
        <v>27339.66</v>
      </c>
      <c r="J259" s="59"/>
      <c r="K259" s="59"/>
      <c r="L259" s="59"/>
      <c r="M259" s="59"/>
      <c r="N259" s="59"/>
    </row>
    <row r="260" spans="1:14" x14ac:dyDescent="0.2">
      <c r="A260" s="91" t="s">
        <v>227</v>
      </c>
      <c r="B260" s="67"/>
      <c r="C260" s="67"/>
      <c r="D260" s="67"/>
      <c r="E260" s="67"/>
      <c r="F260" s="67"/>
      <c r="G260" s="67"/>
      <c r="H260" s="67"/>
      <c r="I260" s="59">
        <v>24549.33</v>
      </c>
      <c r="J260" s="59"/>
      <c r="K260" s="59"/>
      <c r="L260" s="59"/>
      <c r="M260" s="59"/>
      <c r="N260" s="59"/>
    </row>
    <row r="261" spans="1:14" x14ac:dyDescent="0.2">
      <c r="A261" s="91" t="s">
        <v>610</v>
      </c>
      <c r="B261" s="67"/>
      <c r="C261" s="67"/>
      <c r="D261" s="67"/>
      <c r="E261" s="67"/>
      <c r="F261" s="67"/>
      <c r="G261" s="67"/>
      <c r="H261" s="67"/>
      <c r="I261" s="59">
        <v>129282.18</v>
      </c>
      <c r="J261" s="59"/>
      <c r="K261" s="59"/>
      <c r="L261" s="59"/>
      <c r="M261" s="59"/>
      <c r="N261" s="59"/>
    </row>
    <row r="262" spans="1:14" x14ac:dyDescent="0.2">
      <c r="A262" s="91" t="s">
        <v>229</v>
      </c>
      <c r="B262" s="67"/>
      <c r="C262" s="67"/>
      <c r="D262" s="67"/>
      <c r="E262" s="67"/>
      <c r="F262" s="67"/>
      <c r="G262" s="67"/>
      <c r="H262" s="67"/>
      <c r="I262" s="59">
        <v>162812.14000000001</v>
      </c>
      <c r="J262" s="59"/>
      <c r="K262" s="59"/>
      <c r="L262" s="59"/>
      <c r="M262" s="59"/>
      <c r="N262" s="59"/>
    </row>
    <row r="263" spans="1:14" x14ac:dyDescent="0.2">
      <c r="A263" s="91" t="s">
        <v>222</v>
      </c>
      <c r="B263" s="67"/>
      <c r="C263" s="67"/>
      <c r="D263" s="67"/>
      <c r="E263" s="67"/>
      <c r="F263" s="67"/>
      <c r="G263" s="67"/>
      <c r="H263" s="67"/>
      <c r="I263" s="59"/>
      <c r="J263" s="59"/>
      <c r="K263" s="59"/>
      <c r="L263" s="59"/>
      <c r="M263" s="59"/>
      <c r="N263" s="59"/>
    </row>
    <row r="264" spans="1:14" x14ac:dyDescent="0.2">
      <c r="A264" s="91" t="s">
        <v>578</v>
      </c>
      <c r="B264" s="67"/>
      <c r="C264" s="67"/>
      <c r="D264" s="67"/>
      <c r="E264" s="67"/>
      <c r="F264" s="67"/>
      <c r="G264" s="67"/>
      <c r="H264" s="67"/>
      <c r="I264" s="59">
        <v>13325</v>
      </c>
      <c r="J264" s="59"/>
      <c r="K264" s="59"/>
      <c r="L264" s="59"/>
      <c r="M264" s="59"/>
      <c r="N264" s="59"/>
    </row>
    <row r="265" spans="1:14" x14ac:dyDescent="0.2">
      <c r="A265" s="91" t="s">
        <v>611</v>
      </c>
      <c r="B265" s="67"/>
      <c r="C265" s="67"/>
      <c r="D265" s="67"/>
      <c r="E265" s="67"/>
      <c r="F265" s="67"/>
      <c r="G265" s="67"/>
      <c r="H265" s="67"/>
      <c r="I265" s="59">
        <v>37780.639999999999</v>
      </c>
      <c r="J265" s="59"/>
      <c r="K265" s="59"/>
      <c r="L265" s="59"/>
      <c r="M265" s="59"/>
      <c r="N265" s="59"/>
    </row>
    <row r="266" spans="1:14" x14ac:dyDescent="0.2">
      <c r="A266" s="91" t="s">
        <v>612</v>
      </c>
      <c r="B266" s="67"/>
      <c r="C266" s="67"/>
      <c r="D266" s="67"/>
      <c r="E266" s="67"/>
      <c r="F266" s="67"/>
      <c r="G266" s="67"/>
      <c r="H266" s="67"/>
      <c r="I266" s="59">
        <v>3375.6</v>
      </c>
      <c r="J266" s="59"/>
      <c r="K266" s="59"/>
      <c r="L266" s="59"/>
      <c r="M266" s="59"/>
      <c r="N266" s="59"/>
    </row>
    <row r="267" spans="1:14" x14ac:dyDescent="0.2">
      <c r="A267" s="91" t="s">
        <v>581</v>
      </c>
      <c r="B267" s="67"/>
      <c r="C267" s="67"/>
      <c r="D267" s="67"/>
      <c r="E267" s="67"/>
      <c r="F267" s="67"/>
      <c r="G267" s="67"/>
      <c r="H267" s="67"/>
      <c r="I267" s="59">
        <v>2100.1799999999998</v>
      </c>
      <c r="J267" s="59"/>
      <c r="K267" s="59"/>
      <c r="L267" s="59"/>
      <c r="M267" s="59"/>
      <c r="N267" s="59"/>
    </row>
    <row r="268" spans="1:14" x14ac:dyDescent="0.2">
      <c r="A268" s="91" t="s">
        <v>613</v>
      </c>
      <c r="B268" s="67"/>
      <c r="C268" s="67"/>
      <c r="D268" s="67"/>
      <c r="E268" s="67"/>
      <c r="F268" s="67"/>
      <c r="G268" s="67"/>
      <c r="H268" s="67"/>
      <c r="I268" s="59">
        <v>32355.19</v>
      </c>
      <c r="J268" s="59"/>
      <c r="K268" s="59"/>
      <c r="L268" s="59"/>
      <c r="M268" s="59"/>
      <c r="N268" s="59"/>
    </row>
    <row r="269" spans="1:14" x14ac:dyDescent="0.2">
      <c r="A269" s="91" t="s">
        <v>614</v>
      </c>
      <c r="B269" s="67"/>
      <c r="C269" s="67"/>
      <c r="D269" s="67"/>
      <c r="E269" s="67"/>
      <c r="F269" s="67"/>
      <c r="G269" s="67"/>
      <c r="H269" s="67"/>
      <c r="I269" s="59">
        <v>73875.53</v>
      </c>
      <c r="J269" s="59"/>
      <c r="K269" s="59"/>
      <c r="L269" s="59"/>
      <c r="M269" s="59"/>
      <c r="N269" s="59"/>
    </row>
    <row r="270" spans="1:14" x14ac:dyDescent="0.2">
      <c r="A270" s="92" t="s">
        <v>615</v>
      </c>
      <c r="B270" s="63"/>
      <c r="C270" s="63"/>
      <c r="D270" s="63"/>
      <c r="E270" s="63"/>
      <c r="F270" s="63"/>
      <c r="G270" s="63"/>
      <c r="H270" s="63"/>
      <c r="I270" s="59"/>
      <c r="J270" s="59"/>
      <c r="K270" s="59"/>
      <c r="L270" s="59"/>
      <c r="M270" s="59"/>
      <c r="N270" s="59"/>
    </row>
    <row r="271" spans="1:14" ht="33.75" x14ac:dyDescent="0.2">
      <c r="A271" s="91" t="s">
        <v>235</v>
      </c>
      <c r="B271" s="67"/>
      <c r="C271" s="67"/>
      <c r="D271" s="67"/>
      <c r="E271" s="67"/>
      <c r="F271" s="67"/>
      <c r="G271" s="67"/>
      <c r="H271" s="67"/>
      <c r="I271" s="59">
        <v>1811205.93</v>
      </c>
      <c r="J271" s="59"/>
      <c r="K271" s="59"/>
      <c r="L271" s="59"/>
      <c r="M271" s="59"/>
      <c r="N271" s="59" t="s">
        <v>616</v>
      </c>
    </row>
    <row r="272" spans="1:14" ht="22.5" x14ac:dyDescent="0.2">
      <c r="A272" s="91" t="s">
        <v>237</v>
      </c>
      <c r="B272" s="67"/>
      <c r="C272" s="67"/>
      <c r="D272" s="67"/>
      <c r="E272" s="67"/>
      <c r="F272" s="67"/>
      <c r="G272" s="67"/>
      <c r="H272" s="67"/>
      <c r="I272" s="59">
        <v>30812.25</v>
      </c>
      <c r="J272" s="59"/>
      <c r="K272" s="59"/>
      <c r="L272" s="59"/>
      <c r="M272" s="59"/>
      <c r="N272" s="59" t="s">
        <v>617</v>
      </c>
    </row>
    <row r="273" spans="1:14" x14ac:dyDescent="0.2">
      <c r="A273" s="91" t="s">
        <v>587</v>
      </c>
      <c r="B273" s="67"/>
      <c r="C273" s="67"/>
      <c r="D273" s="67"/>
      <c r="E273" s="67"/>
      <c r="F273" s="67"/>
      <c r="G273" s="67"/>
      <c r="H273" s="67"/>
      <c r="I273" s="59">
        <v>406387.07</v>
      </c>
      <c r="J273" s="59"/>
      <c r="K273" s="59"/>
      <c r="L273" s="59"/>
      <c r="M273" s="59"/>
      <c r="N273" s="59"/>
    </row>
    <row r="274" spans="1:14" x14ac:dyDescent="0.2">
      <c r="A274" s="91" t="s">
        <v>588</v>
      </c>
      <c r="B274" s="67"/>
      <c r="C274" s="67"/>
      <c r="D274" s="67"/>
      <c r="E274" s="67"/>
      <c r="F274" s="67"/>
      <c r="G274" s="67"/>
      <c r="H274" s="67"/>
      <c r="I274" s="59">
        <v>77867.95</v>
      </c>
      <c r="J274" s="59"/>
      <c r="K274" s="59"/>
      <c r="L274" s="59"/>
      <c r="M274" s="59"/>
      <c r="N274" s="59">
        <v>185.93</v>
      </c>
    </row>
    <row r="275" spans="1:14" ht="33.75" x14ac:dyDescent="0.2">
      <c r="A275" s="91" t="s">
        <v>238</v>
      </c>
      <c r="B275" s="67"/>
      <c r="C275" s="67"/>
      <c r="D275" s="67"/>
      <c r="E275" s="67"/>
      <c r="F275" s="67"/>
      <c r="G275" s="67"/>
      <c r="H275" s="67"/>
      <c r="I275" s="59">
        <v>2326273.2000000002</v>
      </c>
      <c r="J275" s="59"/>
      <c r="K275" s="59"/>
      <c r="L275" s="59"/>
      <c r="M275" s="59"/>
      <c r="N275" s="59" t="s">
        <v>605</v>
      </c>
    </row>
    <row r="276" spans="1:14" x14ac:dyDescent="0.2">
      <c r="A276" s="91" t="s">
        <v>239</v>
      </c>
      <c r="B276" s="67"/>
      <c r="C276" s="67"/>
      <c r="D276" s="67"/>
      <c r="E276" s="67"/>
      <c r="F276" s="67"/>
      <c r="G276" s="67"/>
      <c r="H276" s="67"/>
      <c r="I276" s="59"/>
      <c r="J276" s="59"/>
      <c r="K276" s="59"/>
      <c r="L276" s="59"/>
      <c r="M276" s="59"/>
      <c r="N276" s="59"/>
    </row>
    <row r="277" spans="1:14" x14ac:dyDescent="0.2">
      <c r="A277" s="91" t="s">
        <v>240</v>
      </c>
      <c r="B277" s="67"/>
      <c r="C277" s="67"/>
      <c r="D277" s="67"/>
      <c r="E277" s="67"/>
      <c r="F277" s="67"/>
      <c r="G277" s="67"/>
      <c r="H277" s="67"/>
      <c r="I277" s="59">
        <v>1084725.67</v>
      </c>
      <c r="J277" s="59"/>
      <c r="K277" s="59"/>
      <c r="L277" s="59"/>
      <c r="M277" s="59"/>
      <c r="N277" s="59"/>
    </row>
    <row r="278" spans="1:14" x14ac:dyDescent="0.2">
      <c r="A278" s="91" t="s">
        <v>241</v>
      </c>
      <c r="B278" s="67"/>
      <c r="C278" s="67"/>
      <c r="D278" s="67"/>
      <c r="E278" s="67"/>
      <c r="F278" s="67"/>
      <c r="G278" s="67"/>
      <c r="H278" s="67"/>
      <c r="I278" s="59">
        <v>52716.4</v>
      </c>
      <c r="J278" s="59"/>
      <c r="K278" s="59"/>
      <c r="L278" s="59"/>
      <c r="M278" s="59"/>
      <c r="N278" s="59"/>
    </row>
    <row r="279" spans="1:14" x14ac:dyDescent="0.2">
      <c r="A279" s="91" t="s">
        <v>242</v>
      </c>
      <c r="B279" s="67"/>
      <c r="C279" s="67"/>
      <c r="D279" s="67"/>
      <c r="E279" s="67"/>
      <c r="F279" s="67"/>
      <c r="G279" s="67"/>
      <c r="H279" s="67"/>
      <c r="I279" s="59">
        <v>354402.46</v>
      </c>
      <c r="J279" s="59"/>
      <c r="K279" s="59"/>
      <c r="L279" s="59"/>
      <c r="M279" s="59"/>
      <c r="N279" s="59"/>
    </row>
    <row r="280" spans="1:14" x14ac:dyDescent="0.2">
      <c r="A280" s="91" t="s">
        <v>589</v>
      </c>
      <c r="B280" s="67"/>
      <c r="C280" s="67"/>
      <c r="D280" s="67"/>
      <c r="E280" s="67"/>
      <c r="F280" s="67"/>
      <c r="G280" s="67"/>
      <c r="H280" s="67"/>
      <c r="I280" s="59">
        <v>406387.07</v>
      </c>
      <c r="J280" s="59"/>
      <c r="K280" s="59"/>
      <c r="L280" s="59"/>
      <c r="M280" s="59"/>
      <c r="N280" s="59"/>
    </row>
    <row r="281" spans="1:14" x14ac:dyDescent="0.2">
      <c r="A281" s="91" t="s">
        <v>243</v>
      </c>
      <c r="B281" s="67"/>
      <c r="C281" s="67"/>
      <c r="D281" s="67"/>
      <c r="E281" s="67"/>
      <c r="F281" s="67"/>
      <c r="G281" s="67"/>
      <c r="H281" s="67"/>
      <c r="I281" s="59">
        <v>273477.44</v>
      </c>
      <c r="J281" s="59"/>
      <c r="K281" s="59"/>
      <c r="L281" s="59"/>
      <c r="M281" s="59"/>
      <c r="N281" s="59"/>
    </row>
    <row r="282" spans="1:14" x14ac:dyDescent="0.2">
      <c r="A282" s="91" t="s">
        <v>244</v>
      </c>
      <c r="B282" s="67"/>
      <c r="C282" s="67"/>
      <c r="D282" s="67"/>
      <c r="E282" s="67"/>
      <c r="F282" s="67"/>
      <c r="G282" s="67"/>
      <c r="H282" s="67"/>
      <c r="I282" s="59">
        <v>162812.14000000001</v>
      </c>
      <c r="J282" s="59"/>
      <c r="K282" s="59"/>
      <c r="L282" s="59"/>
      <c r="M282" s="59"/>
      <c r="N282" s="59"/>
    </row>
    <row r="283" spans="1:14" ht="27.75" customHeight="1" x14ac:dyDescent="0.2">
      <c r="A283" s="93" t="s">
        <v>623</v>
      </c>
      <c r="B283" s="94"/>
      <c r="C283" s="94"/>
      <c r="D283" s="94"/>
      <c r="E283" s="94"/>
      <c r="F283" s="94"/>
      <c r="G283" s="94"/>
      <c r="H283" s="94"/>
      <c r="I283" s="59">
        <v>-49466.27</v>
      </c>
      <c r="J283" s="59"/>
      <c r="K283" s="59"/>
      <c r="L283" s="59"/>
      <c r="M283" s="59"/>
      <c r="N283" s="59"/>
    </row>
    <row r="284" spans="1:14" ht="21.75" customHeight="1" x14ac:dyDescent="0.2">
      <c r="A284" s="95" t="s">
        <v>627</v>
      </c>
      <c r="B284" s="96"/>
      <c r="C284" s="96"/>
      <c r="D284" s="96"/>
      <c r="E284" s="96"/>
      <c r="F284" s="96"/>
      <c r="G284" s="96"/>
      <c r="H284" s="97"/>
      <c r="I284" s="59">
        <v>2276806.9300000002</v>
      </c>
      <c r="J284" s="59"/>
      <c r="K284" s="59"/>
      <c r="L284" s="59"/>
      <c r="M284" s="59"/>
      <c r="N284" s="59"/>
    </row>
    <row r="285" spans="1:14" ht="18.75" customHeight="1" x14ac:dyDescent="0.2">
      <c r="A285" s="91" t="s">
        <v>618</v>
      </c>
      <c r="B285" s="67"/>
      <c r="C285" s="67"/>
      <c r="D285" s="67"/>
      <c r="E285" s="67"/>
      <c r="F285" s="67"/>
      <c r="G285" s="67"/>
      <c r="H285" s="67"/>
      <c r="I285" s="59">
        <v>409825.23</v>
      </c>
      <c r="J285" s="59"/>
      <c r="K285" s="59"/>
      <c r="L285" s="59"/>
      <c r="M285" s="59"/>
      <c r="N285" s="59"/>
    </row>
    <row r="286" spans="1:14" ht="33.75" x14ac:dyDescent="0.2">
      <c r="A286" s="92" t="s">
        <v>619</v>
      </c>
      <c r="B286" s="63"/>
      <c r="C286" s="63"/>
      <c r="D286" s="63"/>
      <c r="E286" s="63"/>
      <c r="F286" s="63"/>
      <c r="G286" s="63"/>
      <c r="H286" s="63"/>
      <c r="I286" s="59">
        <v>2686632.16</v>
      </c>
      <c r="J286" s="59"/>
      <c r="K286" s="59"/>
      <c r="L286" s="59"/>
      <c r="M286" s="59"/>
      <c r="N286" s="59" t="s">
        <v>605</v>
      </c>
    </row>
    <row r="287" spans="1:14" ht="27.75" customHeight="1" x14ac:dyDescent="0.2">
      <c r="A287" s="93" t="s">
        <v>623</v>
      </c>
      <c r="B287" s="94"/>
      <c r="C287" s="94"/>
      <c r="D287" s="94"/>
      <c r="E287" s="94"/>
      <c r="F287" s="94"/>
      <c r="G287" s="94"/>
      <c r="H287" s="94"/>
      <c r="I287" s="61">
        <v>58370.22</v>
      </c>
      <c r="J287" s="59"/>
      <c r="K287" s="59"/>
      <c r="L287" s="59"/>
      <c r="M287" s="59"/>
      <c r="N287" s="59"/>
    </row>
    <row r="288" spans="1:14" x14ac:dyDescent="0.2">
      <c r="A288" s="10"/>
      <c r="B288" s="13"/>
      <c r="C288" s="13"/>
      <c r="D288" s="10"/>
      <c r="E288" s="11"/>
      <c r="F288" s="11"/>
      <c r="G288" s="11"/>
      <c r="H288" s="11"/>
      <c r="I288" s="12"/>
      <c r="J288" s="11"/>
      <c r="K288" s="11"/>
      <c r="L288" s="11"/>
      <c r="M288" s="11"/>
      <c r="N288" s="42"/>
    </row>
    <row r="289" spans="1:14" x14ac:dyDescent="0.2">
      <c r="A289" s="10"/>
      <c r="B289" s="13"/>
      <c r="C289" s="43" t="s">
        <v>24</v>
      </c>
      <c r="D289" s="10"/>
      <c r="E289" s="11"/>
      <c r="F289" s="43" t="s">
        <v>25</v>
      </c>
      <c r="G289" s="43"/>
      <c r="H289" s="43"/>
      <c r="I289" s="11"/>
      <c r="J289" s="11"/>
      <c r="K289" s="11"/>
      <c r="L289" s="11"/>
      <c r="M289" s="11"/>
      <c r="N289" s="42"/>
    </row>
    <row r="290" spans="1:14" x14ac:dyDescent="0.2">
      <c r="A290" s="44"/>
      <c r="B290" s="44"/>
      <c r="C290" s="44"/>
      <c r="D290" s="44"/>
      <c r="E290" s="45"/>
      <c r="F290" s="45"/>
      <c r="G290" s="45"/>
      <c r="H290" s="45"/>
      <c r="I290" s="45"/>
      <c r="J290" s="45"/>
      <c r="K290" s="45"/>
      <c r="L290" s="45"/>
      <c r="M290" s="45"/>
      <c r="N290" s="42"/>
    </row>
    <row r="291" spans="1:14" x14ac:dyDescent="0.2">
      <c r="A291" s="8"/>
      <c r="B291" s="8"/>
      <c r="C291" s="8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7"/>
    </row>
    <row r="293" spans="1:14" x14ac:dyDescent="0.2">
      <c r="B293" s="8"/>
    </row>
  </sheetData>
  <mergeCells count="134">
    <mergeCell ref="A287:H287"/>
    <mergeCell ref="A279:H279"/>
    <mergeCell ref="A280:H280"/>
    <mergeCell ref="A281:H281"/>
    <mergeCell ref="A282:H282"/>
    <mergeCell ref="A285:H285"/>
    <mergeCell ref="A286:H286"/>
    <mergeCell ref="A273:H273"/>
    <mergeCell ref="A274:H274"/>
    <mergeCell ref="A275:H275"/>
    <mergeCell ref="A276:H276"/>
    <mergeCell ref="A277:H277"/>
    <mergeCell ref="A278:H278"/>
    <mergeCell ref="A283:H283"/>
    <mergeCell ref="A284:H284"/>
    <mergeCell ref="A267:H267"/>
    <mergeCell ref="A268:H268"/>
    <mergeCell ref="A269:H269"/>
    <mergeCell ref="A270:H270"/>
    <mergeCell ref="A271:H271"/>
    <mergeCell ref="A272:H272"/>
    <mergeCell ref="A261:H261"/>
    <mergeCell ref="A262:H262"/>
    <mergeCell ref="A263:H263"/>
    <mergeCell ref="A264:H264"/>
    <mergeCell ref="A265:H265"/>
    <mergeCell ref="A266:H266"/>
    <mergeCell ref="A255:H255"/>
    <mergeCell ref="A256:H256"/>
    <mergeCell ref="A257:H257"/>
    <mergeCell ref="A258:H258"/>
    <mergeCell ref="A259:H259"/>
    <mergeCell ref="A260:H260"/>
    <mergeCell ref="A249:H249"/>
    <mergeCell ref="A250:H250"/>
    <mergeCell ref="A251:H251"/>
    <mergeCell ref="A252:H252"/>
    <mergeCell ref="A253:H253"/>
    <mergeCell ref="A254:H254"/>
    <mergeCell ref="A243:H243"/>
    <mergeCell ref="A244:H244"/>
    <mergeCell ref="A245:H245"/>
    <mergeCell ref="A246:H246"/>
    <mergeCell ref="A247:H247"/>
    <mergeCell ref="A248:H248"/>
    <mergeCell ref="A235:H235"/>
    <mergeCell ref="A236:H236"/>
    <mergeCell ref="A237:H237"/>
    <mergeCell ref="A238:H238"/>
    <mergeCell ref="A239:N239"/>
    <mergeCell ref="A242:H242"/>
    <mergeCell ref="A229:H229"/>
    <mergeCell ref="A230:H230"/>
    <mergeCell ref="A231:H231"/>
    <mergeCell ref="A232:H232"/>
    <mergeCell ref="A233:H233"/>
    <mergeCell ref="A234:H234"/>
    <mergeCell ref="A223:H223"/>
    <mergeCell ref="A224:H224"/>
    <mergeCell ref="A225:H225"/>
    <mergeCell ref="A226:H226"/>
    <mergeCell ref="A227:H227"/>
    <mergeCell ref="A228:H228"/>
    <mergeCell ref="A217:H217"/>
    <mergeCell ref="A218:H218"/>
    <mergeCell ref="A219:H219"/>
    <mergeCell ref="A220:H220"/>
    <mergeCell ref="A221:H221"/>
    <mergeCell ref="A222:H222"/>
    <mergeCell ref="A211:H211"/>
    <mergeCell ref="A212:H212"/>
    <mergeCell ref="A213:H213"/>
    <mergeCell ref="A214:H214"/>
    <mergeCell ref="A215:H215"/>
    <mergeCell ref="A216:H216"/>
    <mergeCell ref="A188:N188"/>
    <mergeCell ref="A202:N202"/>
    <mergeCell ref="A207:H207"/>
    <mergeCell ref="A208:H208"/>
    <mergeCell ref="A209:H209"/>
    <mergeCell ref="A210:H210"/>
    <mergeCell ref="A90:N90"/>
    <mergeCell ref="A91:N91"/>
    <mergeCell ref="A93:N93"/>
    <mergeCell ref="A150:N150"/>
    <mergeCell ref="A169:N169"/>
    <mergeCell ref="A180:N180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H67"/>
    <mergeCell ref="A68:H68"/>
    <mergeCell ref="A69:H69"/>
    <mergeCell ref="A70:H70"/>
    <mergeCell ref="A71:H71"/>
    <mergeCell ref="A20:N20"/>
    <mergeCell ref="A21:N21"/>
    <mergeCell ref="A26:N26"/>
    <mergeCell ref="A51:N51"/>
    <mergeCell ref="A64:H64"/>
    <mergeCell ref="A65:H65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honeticPr fontId="0" type="noConversion"/>
  <pageMargins left="0" right="0" top="0" bottom="0" header="0.27559055118110237" footer="0.19685039370078741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Лок.См.Расч.Баз.-Инд.Методом</vt:lpstr>
      <vt:lpstr>'Лок.См.Расч.Баз.-Инд.Методом'!Заголовки_для_печати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Власкина Юлия Викторовна</cp:lastModifiedBy>
  <cp:lastPrinted>2011-04-05T04:59:46Z</cp:lastPrinted>
  <dcterms:created xsi:type="dcterms:W3CDTF">2003-01-28T12:33:10Z</dcterms:created>
  <dcterms:modified xsi:type="dcterms:W3CDTF">2014-12-01T13:02:03Z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