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Сметы конкурс\Томск, ул. Елизаровых, 35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68" i="5" l="1"/>
  <c r="L169" i="5"/>
  <c r="L139" i="5"/>
  <c r="L140" i="5"/>
  <c r="L141" i="5"/>
  <c r="L142" i="5"/>
  <c r="L143" i="5"/>
  <c r="L144" i="5"/>
  <c r="L145" i="5"/>
  <c r="L146" i="5"/>
  <c r="L112" i="5"/>
  <c r="L113" i="5"/>
  <c r="L114" i="5"/>
  <c r="L115" i="5"/>
  <c r="L116" i="5"/>
  <c r="L117" i="5"/>
  <c r="L118" i="5"/>
  <c r="L119" i="5"/>
  <c r="L81" i="5"/>
  <c r="L82" i="5"/>
  <c r="L83" i="5"/>
  <c r="L85" i="5"/>
  <c r="L86" i="5"/>
  <c r="L87" i="5"/>
  <c r="L88" i="5"/>
  <c r="L89" i="5"/>
  <c r="L90" i="5"/>
  <c r="L91" i="5"/>
  <c r="L92" i="5"/>
  <c r="L46" i="5"/>
  <c r="L47" i="5"/>
  <c r="L48" i="5"/>
  <c r="L49" i="5"/>
  <c r="L50" i="5"/>
  <c r="L52" i="5"/>
  <c r="L53" i="5"/>
  <c r="L54" i="5"/>
  <c r="L55" i="5"/>
  <c r="L56" i="5"/>
  <c r="L57" i="5"/>
  <c r="L58" i="5"/>
  <c r="L59" i="5"/>
  <c r="L60" i="5"/>
  <c r="L21" i="5"/>
  <c r="L22" i="5"/>
  <c r="L23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7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7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7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7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7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7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<sst xmlns="http://schemas.openxmlformats.org/spreadsheetml/2006/main" count="451" uniqueCount="274">
  <si>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</si>
  <si>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</si>
  <si>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</si>
  <si>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</si>
  <si>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</si>
  <si>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</si>
  <si>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</si>
  <si>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</si>
  <si>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</si>
  <si>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</si>
  <si>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</si>
  <si>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</si>
  <si>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</si>
  <si>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</si>
  <si>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</si>
  <si>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</si>
  <si>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</si>
  <si>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</si>
  <si>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</si>
  <si>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</si>
  <si>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</si>
  <si>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</si>
  <si>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</si>
  <si>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</si>
  <si>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Составил:____________________________</t>
  </si>
  <si>
    <t>Проверил:____________________________</t>
  </si>
  <si>
    <t xml:space="preserve">                           Раздел 1. Демонтажные работы</t>
  </si>
  <si>
    <t>ФЕРр65-1-1
--------------------
Приказ Минстроя РФ от 30.01.14 №31/пр</t>
  </si>
  <si>
    <t xml:space="preserve">Разборка трубопроводов из водогазопроводных труб диаметром: до 32 мм, 100 м трубопровода
НР 63%=74%*0.85 от ФОТ
СП 40%=50%*0.8 от ФОТ
 </t>
  </si>
  <si>
    <t>8,81
881/100</t>
  </si>
  <si>
    <t>328,71
288,02</t>
  </si>
  <si>
    <t>7,09
1,35</t>
  </si>
  <si>
    <t xml:space="preserve">89.1 Разборка трубопроводов из водогазопроводных труб: ОЗП=15,34; ЭМ=11,98; ЗПМ=15,34; МАТ=5,44
 </t>
  </si>
  <si>
    <t>748,32
182,46</t>
  </si>
  <si>
    <t>34,66
0,1</t>
  </si>
  <si>
    <t>305,35
0,88</t>
  </si>
  <si>
    <t>ФЕРр65-1-2
--------------------
Приказ Минстроя РФ от 30.01.14 №31/пр</t>
  </si>
  <si>
    <t xml:space="preserve">Разборка трубопроводов из водогазопроводных труб диаметром: до 63 мм, 100 м трубопровода
НР 63%=74%*0.85 от ФОТ
СП 40%=50%*0.8 от ФОТ
 </t>
  </si>
  <si>
    <t>0,46
46/100</t>
  </si>
  <si>
    <t>565,51
495,44</t>
  </si>
  <si>
    <t>12,15
2,3</t>
  </si>
  <si>
    <t>66,96
16,23</t>
  </si>
  <si>
    <t>59,62
0,17</t>
  </si>
  <si>
    <t>27,43
0,08</t>
  </si>
  <si>
    <t>ФЕР17-01-002-01
--------------------
Приказ Минстроя РФ от 30.01.14 №31/пр</t>
  </si>
  <si>
    <t xml:space="preserve">Демонтаж полотенцесушителей: из водогазопроводных труб, 10 шт.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</si>
  <si>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27,12
23,47</t>
  </si>
  <si>
    <t xml:space="preserve">17.24 Установка полотенцесушителей: из водогазопроводных труб: ОЗП=15,34; ЭМ=9,31; ЗПМ=15,34; МАТ=10,67
 </t>
  </si>
  <si>
    <t>Итого прямые затраты по разделу в текущих ценах</t>
  </si>
  <si>
    <t>978,14
198,69</t>
  </si>
  <si>
    <t>344,49
0,96</t>
  </si>
  <si>
    <t>Накладные расходы</t>
  </si>
  <si>
    <t xml:space="preserve">  В том числе, справочно:</t>
  </si>
  <si>
    <t xml:space="preserve">  63% =  74%*0.85 ФОТ (от 42619,32)  (Поз. 1-2)</t>
  </si>
  <si>
    <t xml:space="preserve">  98% =  128%*(0.9*0.85) ФОТ (от 1728,29)  (Поз. 3)</t>
  </si>
  <si>
    <t>Сметная прибыль</t>
  </si>
  <si>
    <t xml:space="preserve">  40% =  50%*0.8 ФОТ (от 42619,32)  (Поз. 1-2)</t>
  </si>
  <si>
    <t xml:space="preserve">  56% =  83%*(0.85*0.8) ФОТ (от 1728,29)  (Поз. 3)</t>
  </si>
  <si>
    <t>Итоги по разделу 1 Демонтажные работы :</t>
  </si>
  <si>
    <t xml:space="preserve">  Внутренние санитарно-технические работы: демонтаж и разборка (ремонтно-строительные)</t>
  </si>
  <si>
    <t>332,78
0,96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</si>
  <si>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</si>
  <si>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</si>
  <si>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</si>
  <si>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</si>
  <si>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</si>
  <si>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</si>
  <si>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</si>
  <si>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</si>
  <si>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</si>
  <si>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Монтажные работы ниже 0.000</t>
  </si>
  <si>
    <t xml:space="preserve">                                   Система В1 ниже отм.0.000</t>
  </si>
  <si>
    <t>ФЕР16-02-002-06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</si>
  <si>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</si>
  <si>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6734,68
526,93</t>
  </si>
  <si>
    <t>122,68
3,55</t>
  </si>
  <si>
    <t xml:space="preserve">16.37 Прокладка трубопроводов водоснабжения из стальных водогазопроводных оцинкованных труб диаметром: 50 мм: ОЗП=15,34; ЭМ=10,01; ЗПМ=15,34; МАТ=5,77
 </t>
  </si>
  <si>
    <t>221,04
9,8</t>
  </si>
  <si>
    <t>54,77
0,26</t>
  </si>
  <si>
    <t>9,86
0,05</t>
  </si>
  <si>
    <t>ФЕР16-02-002-05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</si>
  <si>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</si>
  <si>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5480,16
410,1</t>
  </si>
  <si>
    <t>68,46
2,54</t>
  </si>
  <si>
    <t xml:space="preserve">16.36 Прокладка трубопроводов водоснабжения из стальных водогазопроводных оцинкованных труб диаметром: 40 мм: ОЗП=15,34; ЭМ=10,07; ЗПМ=15,34; МАТ=5,97
 </t>
  </si>
  <si>
    <t>28,11
1,56</t>
  </si>
  <si>
    <t>42,63
0,19</t>
  </si>
  <si>
    <t>1,71
0,01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</si>
  <si>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</si>
  <si>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</si>
  <si>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</si>
  <si>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 xml:space="preserve">16.35 Прокладка трубопроводов водоснабжения из стальных водогазопроводных оцинкованных труб диаметром: 32 мм: ОЗП=15,34; ЭМ=10,07; ЗПМ=15,34; МАТ=5,82
 </t>
  </si>
  <si>
    <t>158,57
8,95</t>
  </si>
  <si>
    <t>9,8
0,04</t>
  </si>
  <si>
    <t>Прайс "Водяной"</t>
  </si>
  <si>
    <t xml:space="preserve">Кран шаровой Itap для воды. пара, углеводородов и т.д., стандартный проход, никелированный, ВР-ВР, 11/4" (453,00/1,18/5,04=76,17), шт
 </t>
  </si>
  <si>
    <t xml:space="preserve">Индекс на материалы ФЕР-2001 2/2014; МАТ=5,04
 </t>
  </si>
  <si>
    <t>ФССЦ-302-1483
--------------------
Приказ Минстроя РФ от 30.01.14 №31/пр</t>
  </si>
  <si>
    <t xml:space="preserve">Кран шаровой В-В размером 1/2", шт.
 </t>
  </si>
  <si>
    <t xml:space="preserve">Кран шаровой В-В размером 1/2'; МАТ=1,8
 </t>
  </si>
  <si>
    <t xml:space="preserve">                                   Системы Т3, Т4 ниже отм.0.000</t>
  </si>
  <si>
    <t>168,67
9,34</t>
  </si>
  <si>
    <t>10,23
0,05</t>
  </si>
  <si>
    <t>344,71
19,47</t>
  </si>
  <si>
    <t>21,32
0,1</t>
  </si>
  <si>
    <t>ФЕР16-02-002-03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</si>
  <si>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</si>
  <si>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4082,54
410,1</t>
  </si>
  <si>
    <t xml:space="preserve">16.34 Прокладка трубопроводов водоснабжения из стальных водогазопроводных оцинкованных труб диаметром: 25 мм: ОЗП=15,34; ЭМ=10,07; ЗПМ=15,34; МАТ=5,82
 </t>
  </si>
  <si>
    <t>310,24
17,52</t>
  </si>
  <si>
    <t>19,18
0,09</t>
  </si>
  <si>
    <t>ФССЦ-302-1485
--------------------
Приказ Минстроя РФ от 30.01.14 №31/пр</t>
  </si>
  <si>
    <t xml:space="preserve">Кран шаровой В-В размером 1", шт.
 </t>
  </si>
  <si>
    <t xml:space="preserve">Кран шаровой В-В размером 1'; МАТ=1,943
 </t>
  </si>
  <si>
    <t>ФЕР16-02-002-02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</si>
  <si>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</si>
  <si>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3785,93
410,1</t>
  </si>
  <si>
    <t xml:space="preserve">16.33 Прокладка трубопроводов водоснабжения из стальных водогазопроводных оцинкованных труб диаметром: 20 мм: ОЗП=15,34; ЭМ=10,07; ЗПМ=15,34; МАТ=5,68
 </t>
  </si>
  <si>
    <t>130,99
7,4</t>
  </si>
  <si>
    <t>8,1
0,04</t>
  </si>
  <si>
    <t>ФССЦ-302-1484
--------------------
Приказ Минстроя РФ от 30.01.14 №31/пр</t>
  </si>
  <si>
    <t xml:space="preserve">Кран шаровой В-В размером 3/4", шт.
 </t>
  </si>
  <si>
    <t xml:space="preserve">Кран шаровой В-В размером 3/4'; МАТ=1,968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</si>
  <si>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</si>
  <si>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</si>
  <si>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</si>
  <si>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16.196 Гидравлическое испытание трубопроводов систем отопления, водопровода и горячего водоснабжения диаметром: до 50 мм: ОЗП=15,34; ЭМ=0,72; ЗПМ=15,34; МАТ=7,33
 </t>
  </si>
  <si>
    <t>ФССЦ-301-1224
--------------------
Приказ Минстроя РФ от 30.01.14 №31/пр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</si>
  <si>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</si>
  <si>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МАТ=3,267
 </t>
  </si>
  <si>
    <t>1435,64
74,04</t>
  </si>
  <si>
    <t>90,74
0,38</t>
  </si>
  <si>
    <t xml:space="preserve">  98% =  128%*(0.9*0.85) ФОТ (от 13791,82)  (Поз. 4-6, 9-11, 13, 16)</t>
  </si>
  <si>
    <t xml:space="preserve">  56% =  83%*(0.85*0.8) ФОТ (от 13791,82)  (Поз. 4-6, 9-11, 13, 16)</t>
  </si>
  <si>
    <t>Итоги по разделу 2 Монтажные работы ниже 0.000 :</t>
  </si>
  <si>
    <t xml:space="preserve">  Материалы для строительных работ</t>
  </si>
  <si>
    <t xml:space="preserve">  Итого по разделу 2 Монтажные работы ниже 0.000</t>
  </si>
  <si>
    <t xml:space="preserve">                           Раздел 3. Монтажные работы выше 0.000</t>
  </si>
  <si>
    <t xml:space="preserve">                                   Система В1 выше отм.0.000</t>
  </si>
  <si>
    <t>468,81
26,47</t>
  </si>
  <si>
    <t>28,99
0,13</t>
  </si>
  <si>
    <t>ФЕР16-02-002-01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</si>
  <si>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</si>
  <si>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3335,46
410,1</t>
  </si>
  <si>
    <t xml:space="preserve">16.32 Прокладка трубопроводов водоснабжения из стальных водогазопроводных оцинкованных труб диаметром: 15 мм: ОЗП=15,34; ЭМ=10,07; ЗПМ=15,34; МАТ=5,4
 </t>
  </si>
  <si>
    <t>1323,69
74,75</t>
  </si>
  <si>
    <t>81,85
0,36</t>
  </si>
  <si>
    <t xml:space="preserve">                                   Системы Т3, Т4 выше отм.0.000</t>
  </si>
  <si>
    <t>1047,92
59,17</t>
  </si>
  <si>
    <t>64,8
0,29</t>
  </si>
  <si>
    <t>1130,65
63,85</t>
  </si>
  <si>
    <t>69,91
0,31</t>
  </si>
  <si>
    <t>1158,23
65,4</t>
  </si>
  <si>
    <t>71,62
0,32</t>
  </si>
  <si>
    <t xml:space="preserve">Установка полотенцесушителей: из водогазопроводных труб, 10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</si>
  <si>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571,22
67,48</t>
  </si>
  <si>
    <t>Прайс "DANFOSS"</t>
  </si>
  <si>
    <t xml:space="preserve">Кран шаровой латунный BVR-D фирмы Danfoss полнопроходной с внутренней резьбой со спускным элементом и заглушкой, диаметром 15мм (10.94х49/5,04=106,36), 49 - курс евро на 2кв.2014г., шт
 </t>
  </si>
  <si>
    <t>5936,25
289,64</t>
  </si>
  <si>
    <t>393,72
1,41</t>
  </si>
  <si>
    <t xml:space="preserve">  98% =  128%*(0.9*0.85) ФОТ (от 59717,61)  (Поз. 18-19, 21-23, 25, 27)</t>
  </si>
  <si>
    <t xml:space="preserve">  56% =  83%*(0.85*0.8) ФОТ (от 59717,61)  (Поз. 18-19, 21-23, 25, 27)</t>
  </si>
  <si>
    <t>Итоги по разделу 3 Монтажные работы выше 0.000 :</t>
  </si>
  <si>
    <t xml:space="preserve">  Итого по разделу 3 Монтажные работы выше 0.000</t>
  </si>
  <si>
    <t xml:space="preserve">                           Раздел 4. Водомерный узел</t>
  </si>
  <si>
    <t>ФЕР16-06-001-01
--------------------
Приказ Минстроя РФ от 30.01.14 №31/пр</t>
  </si>
  <si>
    <t xml:space="preserve">Установка водомерных узлов, поставляемых на место монтажа собранными в блоки, с обводной линией диаметром ввода: до 65 мм, диаметром водомера до 40 мм, 1 узел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</si>
  <si>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2008,11
99,3</t>
  </si>
  <si>
    <t>17,11
0,68</t>
  </si>
  <si>
    <t xml:space="preserve">16.162 Установка водомерных узлов, поставляемых на место монтажа собранными в блоки, с обводной линией диаметром ввода: до 65 мм, диаметром водомера до 40 мм: ОЗП=15,34; ЭМ=8,06; ЗПМ=15,34; МАТ=2,88
 </t>
  </si>
  <si>
    <t>137,93
10,35</t>
  </si>
  <si>
    <t>10,95
0,05</t>
  </si>
  <si>
    <t>ФССЦ-301-3165
--------------------
Приказ Минстроя РФ от 30.01.14 №31/пр</t>
  </si>
  <si>
    <t xml:space="preserve">Счетчики (водомеры) крыльчатые диаметром 32 мм, шт.
 </t>
  </si>
  <si>
    <t xml:space="preserve">Счетчики (водомеры) крыльчатые диаметром 32 мм; МАТ=1,854
 </t>
  </si>
  <si>
    <t>Прайс "Этис"</t>
  </si>
  <si>
    <t xml:space="preserve">Крыльчатый расходомер ВСХ Ду32 с присоединителями (3368,00/1,18/5,04= 566,32), шт.
 </t>
  </si>
  <si>
    <t>ФЕР18-06-007-04
--------------------
Приказ Минстроя РФ от 30.01.14 №31/пр</t>
  </si>
  <si>
    <t xml:space="preserve">Установка фильтров диаметром : 50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</si>
  <si>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8448,27
105,98</t>
  </si>
  <si>
    <t>95,93
0,85</t>
  </si>
  <si>
    <t xml:space="preserve">18.70 Установка фильтров диаметром: 50 мм: ОЗП=15,34; ЭМ=7,96; ЗПМ=15,34; МАТ=1,8
 </t>
  </si>
  <si>
    <t>76,36
1,3</t>
  </si>
  <si>
    <t>11,41
0,06</t>
  </si>
  <si>
    <t>1,14
0,01</t>
  </si>
  <si>
    <t>ФССЦ-301-1216
--------------------
Приказ Минстроя РФ от 30.01.14 №31/пр</t>
  </si>
  <si>
    <t xml:space="preserve">Фильтры для очистки воды в трубопроводах систем отопления диаметром 50 мм, шт.
 </t>
  </si>
  <si>
    <t xml:space="preserve">Фильтры для очистки воды в трубопроводах систем отопления диаметром:50 мм; МАТ=1,793
 </t>
  </si>
  <si>
    <t>ФССЦ-301-1870
--------------------
Приказ Минстроя РФ от 30.01.14 №31/пр</t>
  </si>
  <si>
    <t xml:space="preserve">Фильтр магнитный фланцевый ФМФ-50, шт.
 </t>
  </si>
  <si>
    <t xml:space="preserve">Фильтр магнитный:фланцевый ФМФ-50; МАТ=3,766
 </t>
  </si>
  <si>
    <t>ФЕР16-05-001-02
--------------------
Приказ Минстроя РФ от 30.01.14 №31/пр</t>
  </si>
  <si>
    <t xml:space="preserve">Установка вентилей, задвижек, затворов, клапанов обратных, кранов проходных на трубопроводах из стальных труб диаметром: до 50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</si>
  <si>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101,71
15,33</t>
  </si>
  <si>
    <t xml:space="preserve">16.123 Установка вентилей, задвижек, затворов, клапанов обратных, кранов проходных на трубопроводах из стальных труб диаметром: до 50 мм: ОЗП=15,34; ЭМ=7,11; ЗПМ=15,34; МАТ=4,67
 </t>
  </si>
  <si>
    <t xml:space="preserve">Кран шаровый BROEN BALLOMAX , фланцевый,  давлением 1,6 МПа, диаметром 50мм (3811,00/1,18/5,04=640,81), шт.
 </t>
  </si>
  <si>
    <t>336,39
11,65</t>
  </si>
  <si>
    <t>17,16
0,06</t>
  </si>
  <si>
    <t xml:space="preserve">  98% =  128%*(0.9*0.85) ФОТ (от 2402,98)  (Поз. 29, 32, 35)</t>
  </si>
  <si>
    <t xml:space="preserve">  56% =  83%*(0.85*0.8) ФОТ (от 2402,98)  (Поз. 29, 32, 35)</t>
  </si>
  <si>
    <t>Итоги по разделу 4 Водомерный узел :</t>
  </si>
  <si>
    <t xml:space="preserve">  Итого по разделу 4 Водомерный узел</t>
  </si>
  <si>
    <t xml:space="preserve">                           Раздел 5. Разные работы</t>
  </si>
  <si>
    <t>ФЕР26-01-008-01
--------------------
Приказ Минстроя РФ от 30.01.14 №31/пр</t>
  </si>
  <si>
    <t xml:space="preserve">Изоляция трубопроводов матами и холстами из супертонкого волокна (стеклянного и базальтового), матами звукопоглощающими,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</si>
  <si>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1626,43
1057,3</t>
  </si>
  <si>
    <t xml:space="preserve">25.12. Изоляция трубопроводов матами и холстами из супертонкого волокна (стеклянного и базальтового), матами звукопоглощающими: ОЗП=15,34; ЭМ=9,57; ЗПМ=15,34; МАТ=2,65
 </t>
  </si>
  <si>
    <t>ФССЦ-104-0072
--------------------
Приказ Минстроя РФ от 30.01.14 №31/пр</t>
  </si>
  <si>
    <t xml:space="preserve">Маты без связующего прошивные из супертонкого стекловолокна толщиной 40 мм, м3
 </t>
  </si>
  <si>
    <t xml:space="preserve">Маты без связующего прошивные из супертонкого стекловолокна толщиной 60 мм; МАТ=0,594
 </t>
  </si>
  <si>
    <t>ФЕР26-01-010-02
--------------------
Приказ Минстроя РФ от 30.01.14 №31/пр</t>
  </si>
  <si>
    <t xml:space="preserve">Изоляция трубопроводов: матами из стеклянного штапельного волокна,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</si>
  <si>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4677,68
211,58</t>
  </si>
  <si>
    <t xml:space="preserve">25.16. Изоляция трубопроводов: матами из стеклянного штапельного волокна: ОЗП=15,34; ЭМ=9,52; ЗПМ=15,34; МАТ=0,81
 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</si>
  <si>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</si>
  <si>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</si>
  <si>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1785,63
317,76</t>
  </si>
  <si>
    <t xml:space="preserve">25.71 Обертывание поверхности изоляции рулонными материалами насухо с проклейкой швов: ОЗП=15,34; ЭМ=9,5; ЗПМ=15,34; МАТ=7,96
 </t>
  </si>
  <si>
    <t>ФССЦ-101-1794
--------------------
Приказ Минстроя РФ от 30.01.14 №31/пр</t>
  </si>
  <si>
    <t xml:space="preserve">Бризол, 1000 м2
 </t>
  </si>
  <si>
    <t xml:space="preserve">Бризол; МАТ=9,586
 </t>
  </si>
  <si>
    <t>ФССЦ-104-0077
--------------------
Приказ Минстроя РФ от 30.01.14 №31/пр</t>
  </si>
  <si>
    <t xml:space="preserve">Стеклопластик рулонный марки РСТ-А-Л-В, 1000 м2
 </t>
  </si>
  <si>
    <t xml:space="preserve">Стеклопластик рулонный марки:РСТ-А-Л-В; МАТ=1,534
 </t>
  </si>
  <si>
    <t>ФЕР46-03-010-02
--------------------
Приказ Минстроя РФ от 30.01.14 №31/пр</t>
  </si>
  <si>
    <t xml:space="preserve">Пробивка в бетонных стенах и полах толщиной 100 мм отверстий площадью: до 100 см2, 100 отверстий
КОЭФ. К ПОЗИЦИИ:
ОЗП=1,75; ЭМ=1,75; ЗПМ=1,75; ТЗ=1,75; ТЗМ=1,75
НР 84%=110%*(0.9*0.85) от ФОТ
СП 48%=70%*(0.85*0.8) от ФОТ
 </t>
  </si>
  <si>
    <t>2053,71
589,65</t>
  </si>
  <si>
    <t>1464,07
158,27</t>
  </si>
  <si>
    <t xml:space="preserve">45.48 Пробивка отверстий в бетонных стенах, полах и потолках: ОЗП=15,34; ЭМ=7,34; ЗПМ=15,34
 </t>
  </si>
  <si>
    <t>10746,26
2427,86</t>
  </si>
  <si>
    <t>62
15,73</t>
  </si>
  <si>
    <t>ФЕР46-03-017-01
--------------------
Приказ Минстроя РФ от 30.01.14 №31/пр</t>
  </si>
  <si>
    <t xml:space="preserve">Заделка отверстий, гнезд и борозд: в перекрытиях железобетонных площадью до 0,1 м2, 1 м3 заделки
НР 84%=110%*(0.9*0.85) от ФОТ
СП 48%=70%*(0.85*0.8) от ФОТ
 </t>
  </si>
  <si>
    <t>1743,13
446,24</t>
  </si>
  <si>
    <t xml:space="preserve">45.51 Заделка отверстий, гнезд и борозд: в перекрытиях железобетонных: ОЗП=15,34; ЭМ=9,43; ЗПМ=15,34; МАТ=4,61
 </t>
  </si>
  <si>
    <t>12230,56
2427,86</t>
  </si>
  <si>
    <t>231,85
15,73</t>
  </si>
  <si>
    <t xml:space="preserve">  77% =  100%*(0.9*0.85) ФОТ (от 20929,58)  (Поз. 37, 39-40)</t>
  </si>
  <si>
    <t xml:space="preserve">  84% =  110%*(0.9*0.85) ФОТ (от 14895,67)  (Поз. 43-44)</t>
  </si>
  <si>
    <t xml:space="preserve">  48% =  70%*(0.85*0.8) ФОТ (от 35825,25)  (Поз. 37, 39-40, 43-44)</t>
  </si>
  <si>
    <t>Итоги по разделу 5 Разные работы :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</si>
  <si>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</si>
  <si>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</si>
  <si>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89,58
15,73</t>
  </si>
  <si>
    <t xml:space="preserve">  Итого по разделу 5 Разные работы</t>
  </si>
  <si>
    <t xml:space="preserve">                           Раздел 6. Вывоз мусора</t>
  </si>
  <si>
    <t>ФССЦпг01-01-01-041
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</si>
  <si>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вручную, 1 т груза
НР 0% от ФОТ
СП 0% от ФОТ
 </t>
  </si>
  <si>
    <t>42,98
42,98</t>
  </si>
  <si>
    <t xml:space="preserve">Погрузка: Мусора строительного вручную: ОЗП=15,34; ЭМ=9,62; ЗПМ=15,34; МАТ=0
 </t>
  </si>
  <si>
    <t>ФССЦпг03-21-01-005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</si>
  <si>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5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</si>
  <si>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25 км.: I класс груза; ЭМ=8,12
 </t>
  </si>
  <si>
    <t>Итоги по разделу 6 Вывоз мусора :</t>
  </si>
  <si>
    <t xml:space="preserve">  Перевозка автотранспортом</t>
  </si>
  <si>
    <t xml:space="preserve">  Перевозка грузов автотранспортом</t>
  </si>
  <si>
    <t xml:space="preserve">  Итого по разделу 6 Вывоз мусора</t>
  </si>
  <si>
    <t>Итого прямые затраты по смете в текущих ценах</t>
  </si>
  <si>
    <t>20975,43
3001,88</t>
  </si>
  <si>
    <t>1077,96
18,54</t>
  </si>
  <si>
    <t xml:space="preserve">  98% =  128%*(0.9*0.85) ФОТ (от 77640,7)  (Поз. 3-6, 9-11, 13, 16, 18-19, 21-23, 25, 27, 29, 32, 35)</t>
  </si>
  <si>
    <t xml:space="preserve">  56% =  83%*(0.85*0.8) ФОТ (от 77640,7)  (Поз. 3-6, 9-11, 13, 16, 18-19, 21-23, 25, 27, 29, 32, 35)</t>
  </si>
  <si>
    <t>Итоги по смете:</t>
  </si>
  <si>
    <t>513,33
1,85</t>
  </si>
  <si>
    <t xml:space="preserve">  НДС 18%</t>
  </si>
  <si>
    <t xml:space="preserve">  ВСЕГО по смете</t>
  </si>
  <si>
    <t>Справочно. Возвратные суммы от сдачи металлолома (2,18968х0,56х4500,00=5517,99 руб.)</t>
  </si>
  <si>
    <t>Составлен(а) в текущих ценах по состоянию на 2 кв. 2014 года</t>
  </si>
  <si>
    <t>Жилой дом по адресу: г.Томск, ул. Елизаровых, 35</t>
  </si>
  <si>
    <t>ЛОКАЛЬНЫЙ СМЕТНЫЙ РАСЧЕТ №  02-01-01</t>
  </si>
  <si>
    <r>
      <t xml:space="preserve">на   </t>
    </r>
    <r>
      <rPr>
        <b/>
        <sz val="9"/>
        <rFont val="Tahoma"/>
        <family val="2"/>
        <charset val="204"/>
      </rPr>
      <t>Капитальный ремонт системы горячего и холодного водоснабжения</t>
    </r>
  </si>
  <si>
    <t>Итого</t>
  </si>
  <si>
    <t xml:space="preserve">Заказчик </t>
  </si>
  <si>
    <t>Основание: 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</si>
</sst>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1">
      <alignment horizontal="center"/>
    </xf>
    <xf numFmtId="0" fontId="2" fillId="0" borderId="1">
      <alignment horizontal="center"/>
    </xf>
    <xf numFmtId="0" fontId="2" fillId="0" borderId="0">
      <alignment horizontal="righ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0">
      <alignment horizontal="center" vertical="top" wrapText="1"/>
    </xf>
    <xf numFmtId="0" fontId="2" fillId="0" borderId="0" applyProtection="0">
      <alignment horizontal="right" indent="1"/>
    </xf>
    <xf numFmtId="0" fontId="2" fillId="0" borderId="0">
      <alignment horizontal="center"/>
    </xf>
    <xf numFmtId="0" fontId="2" fillId="0" borderId="0">
      <alignment horizontal="left" vertical="top"/>
    </xf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/>
    <xf numFmtId="0" fontId="2" fillId="0" borderId="0" xfId="4" applyFont="1" applyBorder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9" quotePrefix="1" applyFont="1" applyAlignment="1">
      <alignment horizontal="left"/>
    </xf>
    <xf numFmtId="0" fontId="10" fillId="0" borderId="0" xfId="1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0" fillId="0" borderId="0" xfId="0" applyFont="1" applyAlignment="1"/>
    <xf numFmtId="0" fontId="10" fillId="0" borderId="7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/>
    <xf numFmtId="0" fontId="9" fillId="0" borderId="0" xfId="11" applyFont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right" vertical="top" wrapText="1"/>
    </xf>
    <xf numFmtId="0" fontId="9" fillId="0" borderId="1" xfId="3" applyFont="1" applyBorder="1" applyAlignment="1">
      <alignment horizontal="right" vertical="top" wrapText="1"/>
    </xf>
    <xf numFmtId="0" fontId="2" fillId="0" borderId="0" xfId="0" applyFont="1" applyAlignment="1"/>
    <xf numFmtId="0" fontId="9" fillId="0" borderId="1" xfId="3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0" fillId="0" borderId="0" xfId="9" quotePrefix="1" applyFont="1" applyAlignment="1">
      <alignment horizontal="left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 applyBorder="1" applyAlignment="1">
      <alignment horizontal="right" vertical="top"/>
    </xf>
    <xf numFmtId="0" fontId="10" fillId="0" borderId="0" xfId="0" quotePrefix="1" applyFont="1" applyBorder="1" applyAlignment="1">
      <alignment horizontal="right" vertical="top"/>
    </xf>
    <xf numFmtId="0" fontId="10" fillId="0" borderId="0" xfId="0" quotePrefix="1" applyFont="1" applyFill="1" applyBorder="1" applyAlignment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0" fillId="0" borderId="0" xfId="0" quotePrefix="1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9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9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9" applyFont="1" applyBorder="1" applyAlignment="1">
      <alignment horizontal="left"/>
    </xf>
    <xf numFmtId="0" fontId="9" fillId="0" borderId="7" xfId="0" applyFont="1" applyBorder="1" applyAlignment="1">
      <alignment horizontal="center" vertical="top"/>
    </xf>
    <xf numFmtId="0" fontId="12" fillId="0" borderId="7" xfId="9" applyFont="1" applyBorder="1" applyAlignment="1">
      <alignment horizontal="center"/>
    </xf>
    <xf numFmtId="0" fontId="9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3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5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0" xfId="9" quotePrefix="1" applyFont="1" applyAlignment="1">
      <alignment horizontal="left"/>
    </xf>
    <xf numFmtId="0" fontId="10" fillId="0" borderId="0" xfId="9" applyFont="1" applyAlignment="1">
      <alignment horizontal="left"/>
    </xf>
    <xf numFmtId="0" fontId="10" fillId="0" borderId="7" xfId="9" applyFont="1" applyBorder="1">
      <alignment horizontal="right" indent="1"/>
    </xf>
    <xf numFmtId="0" fontId="10" fillId="0" borderId="8" xfId="9" applyFont="1" applyBorder="1">
      <alignment horizontal="right" indent="1"/>
    </xf>
    <xf numFmtId="0" fontId="9" fillId="0" borderId="9" xfId="0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14" xfId="3" applyFont="1" applyBorder="1" applyAlignment="1">
      <alignment horizontal="left" vertical="top" wrapText="1"/>
    </xf>
    <xf numFmtId="0" fontId="15" fillId="0" borderId="8" xfId="3" applyFont="1" applyBorder="1" applyAlignment="1">
      <alignment horizontal="left" vertical="top" wrapText="1"/>
    </xf>
    <xf numFmtId="0" fontId="15" fillId="0" borderId="15" xfId="3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217"/>
  <sheetViews>
    <sheetView showGridLines="0" tabSelected="1" view="pageBreakPreview" topLeftCell="A169" zoomScale="60" zoomScaleNormal="104" workbookViewId="0">
      <selection activeCell="G23" sqref="G23"/>
    </sheetView>
  </sheetViews>
  <sheetFormatPr defaultRowHeight="12.75" x14ac:dyDescent="0.2"/>
  <cols>
    <col min="1" max="1" width="3.42578125" style="3" customWidth="1"/>
    <col min="2" max="2" width="16.42578125" style="3" customWidth="1"/>
    <col min="3" max="3" width="30.85546875" style="3" customWidth="1"/>
    <col min="4" max="4" width="8.7109375" style="3" customWidth="1"/>
    <col min="5" max="5" width="10.5703125" style="4" customWidth="1"/>
    <col min="6" max="6" width="10.42578125" style="4" customWidth="1"/>
    <col min="7" max="7" width="9.85546875" style="4" customWidth="1"/>
    <col min="8" max="8" width="20.28515625" style="4" customWidth="1"/>
    <col min="9" max="9" width="9.5703125" style="4" customWidth="1"/>
    <col min="10" max="10" width="8.140625" style="4" customWidth="1"/>
    <col min="11" max="11" width="10.140625" style="4" customWidth="1"/>
    <col min="12" max="12" width="9.85546875" style="4" customWidth="1"/>
    <col min="13" max="13" width="7.42578125" style="4" customWidth="1"/>
    <col min="14" max="14" width="6.85546875" style="2" customWidth="1"/>
    <col min="15" max="15" width="9.140625" style="2"/>
    <col min="16" max="16" width="19.7109375" style="2" customWidth="1"/>
    <col min="17" max="16384" width="9.140625" style="2"/>
  </cols>
  <sheetData>
    <row r="1" spans="1:20" s="1" customFormat="1" x14ac:dyDescent="0.2">
      <c r="A1" s="58"/>
      <c r="B1" s="59"/>
      <c r="C1" s="58"/>
      <c r="D1" s="60"/>
      <c r="E1" s="61"/>
      <c r="F1" s="71" t="s">
        <v>268</v>
      </c>
      <c r="G1" s="61"/>
      <c r="H1" s="62"/>
      <c r="I1" s="58"/>
      <c r="J1" s="58"/>
      <c r="K1" s="58"/>
      <c r="L1" s="58"/>
      <c r="M1" s="58"/>
      <c r="N1" s="63"/>
      <c r="O1" s="48"/>
      <c r="P1" s="48"/>
      <c r="Q1" s="48"/>
      <c r="R1" s="48"/>
      <c r="S1" s="48"/>
      <c r="T1" s="48"/>
    </row>
    <row r="2" spans="1:20" s="1" customFormat="1" x14ac:dyDescent="0.2">
      <c r="A2" s="64" t="s">
        <v>4</v>
      </c>
      <c r="B2" s="59"/>
      <c r="C2" s="63"/>
      <c r="D2" s="62"/>
      <c r="E2" s="60"/>
      <c r="F2" s="65" t="s">
        <v>0</v>
      </c>
      <c r="G2" s="65"/>
      <c r="H2" s="63"/>
      <c r="I2" s="66"/>
      <c r="J2" s="64"/>
      <c r="K2" s="64" t="s">
        <v>5</v>
      </c>
      <c r="L2" s="64"/>
      <c r="M2" s="58"/>
      <c r="N2" s="63"/>
      <c r="O2" s="48"/>
      <c r="P2" s="48"/>
      <c r="Q2" s="48"/>
      <c r="R2" s="48"/>
      <c r="S2" s="48"/>
      <c r="T2" s="48"/>
    </row>
    <row r="3" spans="1:20" s="1" customFormat="1" x14ac:dyDescent="0.2">
      <c r="A3" s="64" t="s">
        <v>6</v>
      </c>
      <c r="B3" s="63"/>
      <c r="C3" s="63"/>
      <c r="D3" s="63"/>
      <c r="E3" s="58"/>
      <c r="F3" s="58"/>
      <c r="G3" s="58"/>
      <c r="H3" s="58"/>
      <c r="I3" s="58"/>
      <c r="J3" s="64"/>
      <c r="K3" s="64" t="s">
        <v>272</v>
      </c>
      <c r="L3" s="64"/>
      <c r="M3" s="58"/>
      <c r="N3" s="63"/>
      <c r="O3" s="48"/>
      <c r="P3" s="48"/>
      <c r="Q3" s="48"/>
      <c r="R3" s="48"/>
      <c r="S3" s="48"/>
      <c r="T3" s="48"/>
    </row>
    <row r="4" spans="1:20" s="1" customFormat="1" x14ac:dyDescent="0.2">
      <c r="A4" s="70"/>
      <c r="B4" s="70"/>
      <c r="C4" s="58"/>
      <c r="D4" s="63"/>
      <c r="E4" s="60"/>
      <c r="F4" s="67" t="s">
        <v>269</v>
      </c>
      <c r="G4" s="58"/>
      <c r="H4" s="63"/>
      <c r="I4" s="58"/>
      <c r="J4" s="58"/>
      <c r="K4" s="70"/>
      <c r="L4" s="70"/>
      <c r="M4" s="58"/>
      <c r="N4" s="63"/>
      <c r="O4" s="48"/>
      <c r="P4" s="48"/>
      <c r="Q4" s="48"/>
      <c r="R4" s="48"/>
      <c r="S4" s="48"/>
      <c r="T4" s="48"/>
    </row>
    <row r="5" spans="1:20" s="1" customFormat="1" x14ac:dyDescent="0.2">
      <c r="A5" s="58"/>
      <c r="B5" s="58"/>
      <c r="C5" s="58"/>
      <c r="D5" s="63"/>
      <c r="E5" s="60"/>
      <c r="F5" s="58" t="s">
        <v>1</v>
      </c>
      <c r="G5" s="58"/>
      <c r="H5" s="63"/>
      <c r="I5" s="58"/>
      <c r="J5" s="58"/>
      <c r="K5" s="58"/>
      <c r="L5" s="58"/>
      <c r="M5" s="58"/>
      <c r="N5" s="63"/>
      <c r="O5" s="48"/>
      <c r="P5" s="48"/>
      <c r="Q5" s="48"/>
      <c r="R5" s="48"/>
      <c r="S5" s="48"/>
      <c r="T5" s="48"/>
    </row>
    <row r="6" spans="1:20" s="1" customFormat="1" x14ac:dyDescent="0.2">
      <c r="A6" s="58"/>
      <c r="B6" s="58"/>
      <c r="C6" s="58"/>
      <c r="D6" s="63"/>
      <c r="E6" s="58"/>
      <c r="F6" s="58"/>
      <c r="G6" s="58"/>
      <c r="H6" s="58"/>
      <c r="I6" s="58"/>
      <c r="J6" s="58"/>
      <c r="K6" s="58"/>
      <c r="L6" s="58"/>
      <c r="M6" s="58"/>
      <c r="N6" s="63"/>
      <c r="O6" s="48"/>
      <c r="P6" s="48"/>
      <c r="Q6" s="48"/>
      <c r="R6" s="48"/>
      <c r="S6" s="48"/>
      <c r="T6" s="48"/>
    </row>
    <row r="7" spans="1:20" s="1" customFormat="1" x14ac:dyDescent="0.2">
      <c r="A7" s="58"/>
      <c r="B7" s="58"/>
      <c r="C7" s="68"/>
      <c r="D7" s="69" t="s">
        <v>270</v>
      </c>
      <c r="E7" s="70"/>
      <c r="F7" s="70"/>
      <c r="G7" s="70"/>
      <c r="H7" s="70"/>
      <c r="I7" s="66"/>
      <c r="J7" s="66"/>
      <c r="K7" s="66"/>
      <c r="L7" s="66"/>
      <c r="M7" s="58"/>
      <c r="N7" s="63"/>
      <c r="O7" s="48"/>
      <c r="P7" s="48"/>
      <c r="Q7" s="48"/>
      <c r="R7" s="48"/>
      <c r="S7" s="48"/>
      <c r="T7" s="48"/>
    </row>
    <row r="8" spans="1:20" s="1" customFormat="1" x14ac:dyDescent="0.2">
      <c r="A8" s="14"/>
      <c r="B8" s="14"/>
      <c r="C8" s="14"/>
      <c r="D8" s="18" t="s">
        <v>20</v>
      </c>
      <c r="E8" s="16"/>
      <c r="F8" s="16"/>
      <c r="G8" s="16"/>
      <c r="H8" s="15"/>
      <c r="I8" s="17"/>
      <c r="J8" s="17"/>
      <c r="K8" s="17"/>
      <c r="L8" s="17"/>
      <c r="M8" s="14"/>
      <c r="N8" s="15"/>
    </row>
    <row r="9" spans="1:20" s="1" customFormat="1" ht="7.5" customHeight="1" x14ac:dyDescent="0.2">
      <c r="A9" s="19"/>
      <c r="B9" s="19"/>
      <c r="C9" s="14"/>
      <c r="D9" s="15"/>
      <c r="E9" s="14"/>
      <c r="F9" s="14"/>
      <c r="G9" s="14"/>
      <c r="H9" s="14"/>
      <c r="I9" s="14"/>
      <c r="J9" s="14"/>
      <c r="K9" s="15"/>
      <c r="L9" s="15"/>
      <c r="M9" s="14"/>
      <c r="N9" s="15"/>
    </row>
    <row r="10" spans="1:20" x14ac:dyDescent="0.2">
      <c r="A10" s="84" t="s">
        <v>273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20" x14ac:dyDescent="0.2">
      <c r="A11" s="20" t="s">
        <v>9</v>
      </c>
      <c r="B11" s="21"/>
      <c r="C11" s="86">
        <v>773653.7</v>
      </c>
      <c r="D11" s="86"/>
      <c r="E11" s="86"/>
      <c r="F11" s="22" t="s">
        <v>8</v>
      </c>
      <c r="G11" s="23"/>
      <c r="H11" s="23"/>
      <c r="I11" s="23"/>
      <c r="J11" s="23"/>
      <c r="K11" s="24"/>
      <c r="L11" s="24"/>
      <c r="M11" s="24"/>
      <c r="N11" s="25"/>
    </row>
    <row r="12" spans="1:20" x14ac:dyDescent="0.2">
      <c r="A12" s="20" t="s">
        <v>19</v>
      </c>
      <c r="B12" s="21"/>
      <c r="C12" s="26"/>
      <c r="D12" s="87">
        <v>156794.69</v>
      </c>
      <c r="E12" s="87"/>
      <c r="F12" s="22" t="s">
        <v>8</v>
      </c>
      <c r="G12" s="23"/>
      <c r="H12" s="23"/>
      <c r="I12" s="23"/>
      <c r="J12" s="23"/>
      <c r="K12" s="24"/>
      <c r="L12" s="24"/>
      <c r="M12" s="24"/>
      <c r="N12" s="25"/>
    </row>
    <row r="13" spans="1:20" x14ac:dyDescent="0.2">
      <c r="A13" s="49" t="s">
        <v>267</v>
      </c>
      <c r="B13" s="52"/>
      <c r="C13" s="53"/>
      <c r="D13" s="54"/>
      <c r="E13" s="55"/>
      <c r="F13" s="56"/>
      <c r="G13" s="57"/>
      <c r="H13" s="57"/>
      <c r="I13" s="50"/>
      <c r="J13" s="50"/>
      <c r="K13" s="51"/>
      <c r="L13" s="51"/>
      <c r="M13" s="51"/>
      <c r="N13" s="52"/>
      <c r="O13" s="46"/>
      <c r="P13" s="46"/>
      <c r="Q13" s="46"/>
      <c r="R13" s="46"/>
      <c r="S13" s="46"/>
      <c r="T13" s="46"/>
    </row>
    <row r="14" spans="1:20" ht="11.25" customHeight="1" x14ac:dyDescent="0.2">
      <c r="A14" s="27"/>
      <c r="B14" s="22"/>
      <c r="C14" s="22"/>
      <c r="D14" s="27"/>
      <c r="E14" s="23"/>
      <c r="F14" s="23"/>
      <c r="G14" s="23"/>
      <c r="H14" s="26"/>
      <c r="I14" s="23"/>
      <c r="J14" s="23"/>
      <c r="K14" s="23"/>
      <c r="L14" s="23"/>
      <c r="M14" s="23"/>
      <c r="N14" s="25" t="s">
        <v>8</v>
      </c>
    </row>
    <row r="15" spans="1:20" ht="12.75" customHeight="1" x14ac:dyDescent="0.2">
      <c r="A15" s="102" t="s">
        <v>2</v>
      </c>
      <c r="B15" s="102" t="s">
        <v>16</v>
      </c>
      <c r="C15" s="88" t="s">
        <v>21</v>
      </c>
      <c r="D15" s="88" t="s">
        <v>17</v>
      </c>
      <c r="E15" s="94" t="s">
        <v>22</v>
      </c>
      <c r="F15" s="95"/>
      <c r="G15" s="96"/>
      <c r="H15" s="88" t="s">
        <v>3</v>
      </c>
      <c r="I15" s="94" t="s">
        <v>23</v>
      </c>
      <c r="J15" s="100"/>
      <c r="K15" s="100"/>
      <c r="L15" s="91"/>
      <c r="M15" s="90" t="s">
        <v>18</v>
      </c>
      <c r="N15" s="91"/>
    </row>
    <row r="16" spans="1:20" s="5" customFormat="1" ht="38.25" customHeight="1" x14ac:dyDescent="0.2">
      <c r="A16" s="103"/>
      <c r="B16" s="103"/>
      <c r="C16" s="103"/>
      <c r="D16" s="103"/>
      <c r="E16" s="97"/>
      <c r="F16" s="98"/>
      <c r="G16" s="99"/>
      <c r="H16" s="103"/>
      <c r="I16" s="92"/>
      <c r="J16" s="101"/>
      <c r="K16" s="101"/>
      <c r="L16" s="93"/>
      <c r="M16" s="92"/>
      <c r="N16" s="93"/>
    </row>
    <row r="17" spans="1:20" s="5" customFormat="1" ht="12.75" customHeight="1" x14ac:dyDescent="0.2">
      <c r="A17" s="103"/>
      <c r="B17" s="103"/>
      <c r="C17" s="103"/>
      <c r="D17" s="103"/>
      <c r="E17" s="32" t="s">
        <v>11</v>
      </c>
      <c r="F17" s="32" t="s">
        <v>13</v>
      </c>
      <c r="G17" s="88" t="s">
        <v>15</v>
      </c>
      <c r="H17" s="103"/>
      <c r="I17" s="88" t="s">
        <v>11</v>
      </c>
      <c r="J17" s="88" t="s">
        <v>14</v>
      </c>
      <c r="K17" s="32" t="s">
        <v>13</v>
      </c>
      <c r="L17" s="88" t="s">
        <v>15</v>
      </c>
      <c r="M17" s="102" t="s">
        <v>7</v>
      </c>
      <c r="N17" s="88" t="s">
        <v>11</v>
      </c>
    </row>
    <row r="18" spans="1:20" s="5" customFormat="1" ht="11.25" customHeight="1" x14ac:dyDescent="0.2">
      <c r="A18" s="89"/>
      <c r="B18" s="89"/>
      <c r="C18" s="89"/>
      <c r="D18" s="89"/>
      <c r="E18" s="33" t="s">
        <v>10</v>
      </c>
      <c r="F18" s="32" t="s">
        <v>12</v>
      </c>
      <c r="G18" s="89"/>
      <c r="H18" s="89"/>
      <c r="I18" s="89"/>
      <c r="J18" s="89"/>
      <c r="K18" s="32" t="s">
        <v>12</v>
      </c>
      <c r="L18" s="89"/>
      <c r="M18" s="89"/>
      <c r="N18" s="89"/>
    </row>
    <row r="19" spans="1:20" x14ac:dyDescent="0.2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6"/>
      <c r="P19" s="6"/>
      <c r="Q19" s="6"/>
      <c r="R19" s="6"/>
      <c r="S19" s="6"/>
      <c r="T19" s="6"/>
    </row>
    <row r="20" spans="1:20" ht="17.850000000000001" customHeight="1" x14ac:dyDescent="0.2">
      <c r="A20" s="80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20" ht="90" x14ac:dyDescent="0.2">
      <c r="A21" s="35">
        <v>1</v>
      </c>
      <c r="B21" s="36" t="s">
        <v>27</v>
      </c>
      <c r="C21" s="36" t="s">
        <v>28</v>
      </c>
      <c r="D21" s="35" t="s">
        <v>29</v>
      </c>
      <c r="E21" s="37" t="s">
        <v>30</v>
      </c>
      <c r="F21" s="37" t="s">
        <v>31</v>
      </c>
      <c r="G21" s="37">
        <v>33.6</v>
      </c>
      <c r="H21" s="38" t="s">
        <v>32</v>
      </c>
      <c r="I21" s="39">
        <v>41283.22</v>
      </c>
      <c r="J21" s="37">
        <v>38924.61</v>
      </c>
      <c r="K21" s="37" t="s">
        <v>33</v>
      </c>
      <c r="L21" s="37" t="str">
        <f>IF(8.81*33.6=0," ",TEXT(,ROUND((8.81*33.6*5.44),2)))</f>
        <v>1610.33</v>
      </c>
      <c r="M21" s="37" t="s">
        <v>34</v>
      </c>
      <c r="N21" s="37" t="s">
        <v>35</v>
      </c>
    </row>
    <row r="22" spans="1:20" ht="90" x14ac:dyDescent="0.2">
      <c r="A22" s="35">
        <v>2</v>
      </c>
      <c r="B22" s="36" t="s">
        <v>36</v>
      </c>
      <c r="C22" s="36" t="s">
        <v>37</v>
      </c>
      <c r="D22" s="35" t="s">
        <v>38</v>
      </c>
      <c r="E22" s="37" t="s">
        <v>39</v>
      </c>
      <c r="F22" s="37" t="s">
        <v>40</v>
      </c>
      <c r="G22" s="37">
        <v>57.92</v>
      </c>
      <c r="H22" s="38" t="s">
        <v>32</v>
      </c>
      <c r="I22" s="39">
        <v>3707.92</v>
      </c>
      <c r="J22" s="37">
        <v>3496.02</v>
      </c>
      <c r="K22" s="37" t="s">
        <v>41</v>
      </c>
      <c r="L22" s="37" t="str">
        <f>IF(0.46*57.92=0," ",TEXT(,ROUND((0.46*57.92*5.44),2)))</f>
        <v>144.94</v>
      </c>
      <c r="M22" s="37" t="s">
        <v>42</v>
      </c>
      <c r="N22" s="37" t="s">
        <v>43</v>
      </c>
    </row>
    <row r="23" spans="1:20" ht="180" x14ac:dyDescent="0.2">
      <c r="A23" s="40">
        <v>3</v>
      </c>
      <c r="B23" s="41" t="s">
        <v>44</v>
      </c>
      <c r="C23" s="41" t="s">
        <v>45</v>
      </c>
      <c r="D23" s="40">
        <v>4.8</v>
      </c>
      <c r="E23" s="42" t="s">
        <v>46</v>
      </c>
      <c r="F23" s="42">
        <v>3.64</v>
      </c>
      <c r="G23" s="42"/>
      <c r="H23" s="43" t="s">
        <v>47</v>
      </c>
      <c r="I23" s="44">
        <v>1891.15</v>
      </c>
      <c r="J23" s="42">
        <v>1728.29</v>
      </c>
      <c r="K23" s="42">
        <v>162.86000000000001</v>
      </c>
      <c r="L23" s="42" t="str">
        <f>IF(4.8*0=0," ",TEXT(,ROUND((4.8*0*10.67),2)))</f>
        <v xml:space="preserve"> </v>
      </c>
      <c r="M23" s="42">
        <v>2.44</v>
      </c>
      <c r="N23" s="42">
        <v>11.71</v>
      </c>
    </row>
    <row r="24" spans="1:20" ht="22.5" x14ac:dyDescent="0.2">
      <c r="A24" s="77" t="s">
        <v>48</v>
      </c>
      <c r="B24" s="73"/>
      <c r="C24" s="73"/>
      <c r="D24" s="73"/>
      <c r="E24" s="73"/>
      <c r="F24" s="73"/>
      <c r="G24" s="73"/>
      <c r="H24" s="73"/>
      <c r="I24" s="39">
        <v>46882.29</v>
      </c>
      <c r="J24" s="37">
        <v>44148.92</v>
      </c>
      <c r="K24" s="37" t="s">
        <v>49</v>
      </c>
      <c r="L24" s="37">
        <v>1755.23</v>
      </c>
      <c r="M24" s="37"/>
      <c r="N24" s="37" t="s">
        <v>50</v>
      </c>
    </row>
    <row r="25" spans="1:20" x14ac:dyDescent="0.2">
      <c r="A25" s="77" t="s">
        <v>51</v>
      </c>
      <c r="B25" s="73"/>
      <c r="C25" s="73"/>
      <c r="D25" s="73"/>
      <c r="E25" s="73"/>
      <c r="F25" s="73"/>
      <c r="G25" s="73"/>
      <c r="H25" s="73"/>
      <c r="I25" s="39">
        <v>28543.89</v>
      </c>
      <c r="J25" s="37"/>
      <c r="K25" s="37"/>
      <c r="L25" s="37"/>
      <c r="M25" s="37"/>
      <c r="N25" s="37"/>
    </row>
    <row r="26" spans="1:20" x14ac:dyDescent="0.2">
      <c r="A26" s="77" t="s">
        <v>52</v>
      </c>
      <c r="B26" s="73"/>
      <c r="C26" s="73"/>
      <c r="D26" s="73"/>
      <c r="E26" s="73"/>
      <c r="F26" s="73"/>
      <c r="G26" s="73"/>
      <c r="H26" s="73"/>
      <c r="I26" s="39"/>
      <c r="J26" s="37"/>
      <c r="K26" s="37"/>
      <c r="L26" s="37"/>
      <c r="M26" s="37"/>
      <c r="N26" s="37"/>
    </row>
    <row r="27" spans="1:20" x14ac:dyDescent="0.2">
      <c r="A27" s="77" t="s">
        <v>53</v>
      </c>
      <c r="B27" s="73"/>
      <c r="C27" s="73"/>
      <c r="D27" s="73"/>
      <c r="E27" s="73"/>
      <c r="F27" s="73"/>
      <c r="G27" s="73"/>
      <c r="H27" s="73"/>
      <c r="I27" s="39">
        <v>26850.17</v>
      </c>
      <c r="J27" s="37"/>
      <c r="K27" s="37"/>
      <c r="L27" s="37"/>
      <c r="M27" s="37"/>
      <c r="N27" s="37"/>
    </row>
    <row r="28" spans="1:20" x14ac:dyDescent="0.2">
      <c r="A28" s="77" t="s">
        <v>54</v>
      </c>
      <c r="B28" s="73"/>
      <c r="C28" s="73"/>
      <c r="D28" s="73"/>
      <c r="E28" s="73"/>
      <c r="F28" s="73"/>
      <c r="G28" s="73"/>
      <c r="H28" s="73"/>
      <c r="I28" s="39">
        <v>1693.72</v>
      </c>
      <c r="J28" s="37"/>
      <c r="K28" s="37"/>
      <c r="L28" s="37"/>
      <c r="M28" s="37"/>
      <c r="N28" s="37"/>
    </row>
    <row r="29" spans="1:20" x14ac:dyDescent="0.2">
      <c r="A29" s="77" t="s">
        <v>55</v>
      </c>
      <c r="B29" s="73"/>
      <c r="C29" s="73"/>
      <c r="D29" s="73"/>
      <c r="E29" s="73"/>
      <c r="F29" s="73"/>
      <c r="G29" s="73"/>
      <c r="H29" s="73"/>
      <c r="I29" s="39">
        <v>18015.57</v>
      </c>
      <c r="J29" s="37"/>
      <c r="K29" s="37"/>
      <c r="L29" s="37"/>
      <c r="M29" s="37"/>
      <c r="N29" s="37"/>
    </row>
    <row r="30" spans="1:20" x14ac:dyDescent="0.2">
      <c r="A30" s="77" t="s">
        <v>52</v>
      </c>
      <c r="B30" s="73"/>
      <c r="C30" s="73"/>
      <c r="D30" s="73"/>
      <c r="E30" s="73"/>
      <c r="F30" s="73"/>
      <c r="G30" s="73"/>
      <c r="H30" s="73"/>
      <c r="I30" s="39"/>
      <c r="J30" s="37"/>
      <c r="K30" s="37"/>
      <c r="L30" s="37"/>
      <c r="M30" s="37"/>
      <c r="N30" s="37"/>
    </row>
    <row r="31" spans="1:20" x14ac:dyDescent="0.2">
      <c r="A31" s="77" t="s">
        <v>56</v>
      </c>
      <c r="B31" s="73"/>
      <c r="C31" s="73"/>
      <c r="D31" s="73"/>
      <c r="E31" s="73"/>
      <c r="F31" s="73"/>
      <c r="G31" s="73"/>
      <c r="H31" s="73"/>
      <c r="I31" s="39">
        <v>17047.73</v>
      </c>
      <c r="J31" s="37"/>
      <c r="K31" s="37"/>
      <c r="L31" s="37"/>
      <c r="M31" s="37"/>
      <c r="N31" s="37"/>
    </row>
    <row r="32" spans="1:20" x14ac:dyDescent="0.2">
      <c r="A32" s="77" t="s">
        <v>57</v>
      </c>
      <c r="B32" s="73"/>
      <c r="C32" s="73"/>
      <c r="D32" s="73"/>
      <c r="E32" s="73"/>
      <c r="F32" s="73"/>
      <c r="G32" s="73"/>
      <c r="H32" s="73"/>
      <c r="I32" s="39">
        <v>967.84</v>
      </c>
      <c r="J32" s="37"/>
      <c r="K32" s="37"/>
      <c r="L32" s="37"/>
      <c r="M32" s="37"/>
      <c r="N32" s="37"/>
    </row>
    <row r="33" spans="1:14" x14ac:dyDescent="0.2">
      <c r="A33" s="81" t="s">
        <v>58</v>
      </c>
      <c r="B33" s="75"/>
      <c r="C33" s="75"/>
      <c r="D33" s="75"/>
      <c r="E33" s="75"/>
      <c r="F33" s="75"/>
      <c r="G33" s="75"/>
      <c r="H33" s="75"/>
      <c r="I33" s="39"/>
      <c r="J33" s="37"/>
      <c r="K33" s="37"/>
      <c r="L33" s="37"/>
      <c r="M33" s="37"/>
      <c r="N33" s="37"/>
    </row>
    <row r="34" spans="1:14" ht="22.5" x14ac:dyDescent="0.2">
      <c r="A34" s="77" t="s">
        <v>59</v>
      </c>
      <c r="B34" s="73"/>
      <c r="C34" s="73"/>
      <c r="D34" s="73"/>
      <c r="E34" s="73"/>
      <c r="F34" s="73"/>
      <c r="G34" s="73"/>
      <c r="H34" s="73"/>
      <c r="I34" s="39">
        <v>88889.04</v>
      </c>
      <c r="J34" s="37"/>
      <c r="K34" s="37"/>
      <c r="L34" s="37"/>
      <c r="M34" s="37"/>
      <c r="N34" s="37" t="s">
        <v>60</v>
      </c>
    </row>
    <row r="35" spans="1:14" x14ac:dyDescent="0.2">
      <c r="A35" s="77" t="s">
        <v>61</v>
      </c>
      <c r="B35" s="73"/>
      <c r="C35" s="73"/>
      <c r="D35" s="73"/>
      <c r="E35" s="73"/>
      <c r="F35" s="73"/>
      <c r="G35" s="73"/>
      <c r="H35" s="73"/>
      <c r="I35" s="39">
        <v>4552.71</v>
      </c>
      <c r="J35" s="37"/>
      <c r="K35" s="37"/>
      <c r="L35" s="37"/>
      <c r="M35" s="37"/>
      <c r="N35" s="37">
        <v>11.71</v>
      </c>
    </row>
    <row r="36" spans="1:14" ht="22.5" x14ac:dyDescent="0.2">
      <c r="A36" s="77" t="s">
        <v>62</v>
      </c>
      <c r="B36" s="73"/>
      <c r="C36" s="73"/>
      <c r="D36" s="73"/>
      <c r="E36" s="73"/>
      <c r="F36" s="73"/>
      <c r="G36" s="73"/>
      <c r="H36" s="73"/>
      <c r="I36" s="39">
        <v>93441.75</v>
      </c>
      <c r="J36" s="37"/>
      <c r="K36" s="37"/>
      <c r="L36" s="37"/>
      <c r="M36" s="37"/>
      <c r="N36" s="37" t="s">
        <v>50</v>
      </c>
    </row>
    <row r="37" spans="1:14" x14ac:dyDescent="0.2">
      <c r="A37" s="77" t="s">
        <v>63</v>
      </c>
      <c r="B37" s="73"/>
      <c r="C37" s="73"/>
      <c r="D37" s="73"/>
      <c r="E37" s="73"/>
      <c r="F37" s="73"/>
      <c r="G37" s="73"/>
      <c r="H37" s="73"/>
      <c r="I37" s="39"/>
      <c r="J37" s="37"/>
      <c r="K37" s="37"/>
      <c r="L37" s="37"/>
      <c r="M37" s="37"/>
      <c r="N37" s="37"/>
    </row>
    <row r="38" spans="1:14" x14ac:dyDescent="0.2">
      <c r="A38" s="77" t="s">
        <v>64</v>
      </c>
      <c r="B38" s="73"/>
      <c r="C38" s="73"/>
      <c r="D38" s="73"/>
      <c r="E38" s="73"/>
      <c r="F38" s="73"/>
      <c r="G38" s="73"/>
      <c r="H38" s="73"/>
      <c r="I38" s="39">
        <v>1755.23</v>
      </c>
      <c r="J38" s="37"/>
      <c r="K38" s="37"/>
      <c r="L38" s="37"/>
      <c r="M38" s="37"/>
      <c r="N38" s="37"/>
    </row>
    <row r="39" spans="1:14" x14ac:dyDescent="0.2">
      <c r="A39" s="77" t="s">
        <v>65</v>
      </c>
      <c r="B39" s="73"/>
      <c r="C39" s="73"/>
      <c r="D39" s="73"/>
      <c r="E39" s="73"/>
      <c r="F39" s="73"/>
      <c r="G39" s="73"/>
      <c r="H39" s="73"/>
      <c r="I39" s="39">
        <v>978.14</v>
      </c>
      <c r="J39" s="37"/>
      <c r="K39" s="37"/>
      <c r="L39" s="37"/>
      <c r="M39" s="37"/>
      <c r="N39" s="37"/>
    </row>
    <row r="40" spans="1:14" x14ac:dyDescent="0.2">
      <c r="A40" s="77" t="s">
        <v>66</v>
      </c>
      <c r="B40" s="73"/>
      <c r="C40" s="73"/>
      <c r="D40" s="73"/>
      <c r="E40" s="73"/>
      <c r="F40" s="73"/>
      <c r="G40" s="73"/>
      <c r="H40" s="73"/>
      <c r="I40" s="39">
        <v>44347.61</v>
      </c>
      <c r="J40" s="37"/>
      <c r="K40" s="37"/>
      <c r="L40" s="37"/>
      <c r="M40" s="37"/>
      <c r="N40" s="37"/>
    </row>
    <row r="41" spans="1:14" x14ac:dyDescent="0.2">
      <c r="A41" s="77" t="s">
        <v>67</v>
      </c>
      <c r="B41" s="73"/>
      <c r="C41" s="73"/>
      <c r="D41" s="73"/>
      <c r="E41" s="73"/>
      <c r="F41" s="73"/>
      <c r="G41" s="73"/>
      <c r="H41" s="73"/>
      <c r="I41" s="39">
        <v>28543.89</v>
      </c>
      <c r="J41" s="37"/>
      <c r="K41" s="37"/>
      <c r="L41" s="37"/>
      <c r="M41" s="37"/>
      <c r="N41" s="37"/>
    </row>
    <row r="42" spans="1:14" x14ac:dyDescent="0.2">
      <c r="A42" s="77" t="s">
        <v>68</v>
      </c>
      <c r="B42" s="73"/>
      <c r="C42" s="73"/>
      <c r="D42" s="73"/>
      <c r="E42" s="73"/>
      <c r="F42" s="73"/>
      <c r="G42" s="73"/>
      <c r="H42" s="73"/>
      <c r="I42" s="39">
        <v>18015.57</v>
      </c>
      <c r="J42" s="37"/>
      <c r="K42" s="37"/>
      <c r="L42" s="37"/>
      <c r="M42" s="37"/>
      <c r="N42" s="37"/>
    </row>
    <row r="43" spans="1:14" ht="22.5" x14ac:dyDescent="0.2">
      <c r="A43" s="78" t="s">
        <v>69</v>
      </c>
      <c r="B43" s="79"/>
      <c r="C43" s="79"/>
      <c r="D43" s="79"/>
      <c r="E43" s="79"/>
      <c r="F43" s="79"/>
      <c r="G43" s="79"/>
      <c r="H43" s="79"/>
      <c r="I43" s="44">
        <v>93441.75</v>
      </c>
      <c r="J43" s="42"/>
      <c r="K43" s="42"/>
      <c r="L43" s="42"/>
      <c r="M43" s="42"/>
      <c r="N43" s="42" t="s">
        <v>50</v>
      </c>
    </row>
    <row r="44" spans="1:14" ht="17.850000000000001" customHeight="1" x14ac:dyDescent="0.2">
      <c r="A44" s="80" t="s">
        <v>70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ht="17.850000000000001" customHeight="1" x14ac:dyDescent="0.2">
      <c r="A45" s="82" t="s">
        <v>71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80" x14ac:dyDescent="0.2">
      <c r="A46" s="35">
        <v>4</v>
      </c>
      <c r="B46" s="36" t="s">
        <v>72</v>
      </c>
      <c r="C46" s="36" t="s">
        <v>73</v>
      </c>
      <c r="D46" s="35">
        <v>0.18</v>
      </c>
      <c r="E46" s="37" t="s">
        <v>74</v>
      </c>
      <c r="F46" s="37" t="s">
        <v>75</v>
      </c>
      <c r="G46" s="37">
        <v>6085.07</v>
      </c>
      <c r="H46" s="38" t="s">
        <v>76</v>
      </c>
      <c r="I46" s="39">
        <v>7995.95</v>
      </c>
      <c r="J46" s="37">
        <v>1454.96</v>
      </c>
      <c r="K46" s="37" t="s">
        <v>77</v>
      </c>
      <c r="L46" s="37" t="str">
        <f>IF(0.18*6085.07=0," ",TEXT(,ROUND((0.18*6085.07*5.77),2)))</f>
        <v>6319.95</v>
      </c>
      <c r="M46" s="37" t="s">
        <v>78</v>
      </c>
      <c r="N46" s="37" t="s">
        <v>79</v>
      </c>
    </row>
    <row r="47" spans="1:14" ht="180" x14ac:dyDescent="0.2">
      <c r="A47" s="35">
        <v>5</v>
      </c>
      <c r="B47" s="36" t="s">
        <v>80</v>
      </c>
      <c r="C47" s="36" t="s">
        <v>81</v>
      </c>
      <c r="D47" s="35">
        <v>0.04</v>
      </c>
      <c r="E47" s="37" t="s">
        <v>82</v>
      </c>
      <c r="F47" s="37" t="s">
        <v>83</v>
      </c>
      <c r="G47" s="37">
        <v>5001.6000000000004</v>
      </c>
      <c r="H47" s="38" t="s">
        <v>84</v>
      </c>
      <c r="I47" s="39">
        <v>1474.13</v>
      </c>
      <c r="J47" s="37">
        <v>251.64</v>
      </c>
      <c r="K47" s="37" t="s">
        <v>85</v>
      </c>
      <c r="L47" s="37" t="str">
        <f>IF(0.04*5001.6=0," ",TEXT(,ROUND((0.04*5001.6*5.97),2)))</f>
        <v>1194.38</v>
      </c>
      <c r="M47" s="37" t="s">
        <v>86</v>
      </c>
      <c r="N47" s="37" t="s">
        <v>87</v>
      </c>
    </row>
    <row r="48" spans="1:14" ht="180" x14ac:dyDescent="0.2">
      <c r="A48" s="35">
        <v>6</v>
      </c>
      <c r="B48" s="36" t="s">
        <v>88</v>
      </c>
      <c r="C48" s="36" t="s">
        <v>89</v>
      </c>
      <c r="D48" s="35">
        <v>0.23</v>
      </c>
      <c r="E48" s="37" t="s">
        <v>90</v>
      </c>
      <c r="F48" s="37" t="s">
        <v>83</v>
      </c>
      <c r="G48" s="37">
        <v>4319.0600000000004</v>
      </c>
      <c r="H48" s="38" t="s">
        <v>91</v>
      </c>
      <c r="I48" s="39">
        <v>7386.98</v>
      </c>
      <c r="J48" s="37">
        <v>1446.92</v>
      </c>
      <c r="K48" s="37" t="s">
        <v>92</v>
      </c>
      <c r="L48" s="37" t="str">
        <f>IF(0.23*4319.06=0," ",TEXT(,ROUND((0.23*4319.06*5.82),2)))</f>
        <v>5781.49</v>
      </c>
      <c r="M48" s="37" t="s">
        <v>86</v>
      </c>
      <c r="N48" s="37" t="s">
        <v>93</v>
      </c>
    </row>
    <row r="49" spans="1:14" ht="67.5" x14ac:dyDescent="0.2">
      <c r="A49" s="35">
        <v>7</v>
      </c>
      <c r="B49" s="36" t="s">
        <v>94</v>
      </c>
      <c r="C49" s="36" t="s">
        <v>95</v>
      </c>
      <c r="D49" s="35">
        <v>3</v>
      </c>
      <c r="E49" s="37">
        <v>76.17</v>
      </c>
      <c r="F49" s="37"/>
      <c r="G49" s="37">
        <v>76.17</v>
      </c>
      <c r="H49" s="38" t="s">
        <v>96</v>
      </c>
      <c r="I49" s="39">
        <v>1151.7</v>
      </c>
      <c r="J49" s="37"/>
      <c r="K49" s="37"/>
      <c r="L49" s="37" t="str">
        <f>IF(3*76.17=0," ",TEXT(,ROUND((3*76.17*5.04),2)))</f>
        <v>1151.69</v>
      </c>
      <c r="M49" s="37"/>
      <c r="N49" s="37"/>
    </row>
    <row r="50" spans="1:14" ht="56.25" x14ac:dyDescent="0.2">
      <c r="A50" s="35">
        <v>8</v>
      </c>
      <c r="B50" s="36" t="s">
        <v>97</v>
      </c>
      <c r="C50" s="36" t="s">
        <v>98</v>
      </c>
      <c r="D50" s="35">
        <v>3</v>
      </c>
      <c r="E50" s="37">
        <v>53.8</v>
      </c>
      <c r="F50" s="37"/>
      <c r="G50" s="37">
        <v>53.8</v>
      </c>
      <c r="H50" s="38" t="s">
        <v>99</v>
      </c>
      <c r="I50" s="39">
        <v>290.52</v>
      </c>
      <c r="J50" s="37"/>
      <c r="K50" s="37"/>
      <c r="L50" s="37" t="str">
        <f>IF(3*53.8=0," ",TEXT(,ROUND((3*53.8*1.8),2)))</f>
        <v>290.52</v>
      </c>
      <c r="M50" s="37"/>
      <c r="N50" s="37"/>
    </row>
    <row r="51" spans="1:14" ht="17.850000000000001" customHeight="1" x14ac:dyDescent="0.2">
      <c r="A51" s="82" t="s">
        <v>100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ht="180" x14ac:dyDescent="0.2">
      <c r="A52" s="35">
        <v>9</v>
      </c>
      <c r="B52" s="36" t="s">
        <v>80</v>
      </c>
      <c r="C52" s="36" t="s">
        <v>81</v>
      </c>
      <c r="D52" s="35">
        <v>0.24</v>
      </c>
      <c r="E52" s="37" t="s">
        <v>82</v>
      </c>
      <c r="F52" s="37" t="s">
        <v>83</v>
      </c>
      <c r="G52" s="37">
        <v>5001.6000000000004</v>
      </c>
      <c r="H52" s="38" t="s">
        <v>84</v>
      </c>
      <c r="I52" s="39">
        <v>8844.7900000000009</v>
      </c>
      <c r="J52" s="37">
        <v>1509.83</v>
      </c>
      <c r="K52" s="37" t="s">
        <v>101</v>
      </c>
      <c r="L52" s="37" t="str">
        <f>IF(0.24*5001.6=0," ",TEXT(,ROUND((0.24*5001.6*5.97),2)))</f>
        <v>7166.29</v>
      </c>
      <c r="M52" s="37" t="s">
        <v>86</v>
      </c>
      <c r="N52" s="37" t="s">
        <v>102</v>
      </c>
    </row>
    <row r="53" spans="1:14" ht="180" x14ac:dyDescent="0.2">
      <c r="A53" s="35">
        <v>10</v>
      </c>
      <c r="B53" s="36" t="s">
        <v>88</v>
      </c>
      <c r="C53" s="36" t="s">
        <v>89</v>
      </c>
      <c r="D53" s="35">
        <v>0.5</v>
      </c>
      <c r="E53" s="37" t="s">
        <v>90</v>
      </c>
      <c r="F53" s="37" t="s">
        <v>83</v>
      </c>
      <c r="G53" s="37">
        <v>4319.0600000000004</v>
      </c>
      <c r="H53" s="38" t="s">
        <v>91</v>
      </c>
      <c r="I53" s="39">
        <v>16058.65</v>
      </c>
      <c r="J53" s="37">
        <v>3145.48</v>
      </c>
      <c r="K53" s="37" t="s">
        <v>103</v>
      </c>
      <c r="L53" s="37" t="str">
        <f>IF(0.5*4319.06=0," ",TEXT(,ROUND((0.5*4319.06*5.82),2)))</f>
        <v>12568.46</v>
      </c>
      <c r="M53" s="37" t="s">
        <v>86</v>
      </c>
      <c r="N53" s="37" t="s">
        <v>104</v>
      </c>
    </row>
    <row r="54" spans="1:14" ht="180" x14ac:dyDescent="0.2">
      <c r="A54" s="35">
        <v>11</v>
      </c>
      <c r="B54" s="36" t="s">
        <v>105</v>
      </c>
      <c r="C54" s="36" t="s">
        <v>106</v>
      </c>
      <c r="D54" s="35">
        <v>0.45</v>
      </c>
      <c r="E54" s="37" t="s">
        <v>107</v>
      </c>
      <c r="F54" s="37" t="s">
        <v>83</v>
      </c>
      <c r="G54" s="37">
        <v>3603.98</v>
      </c>
      <c r="H54" s="38" t="s">
        <v>108</v>
      </c>
      <c r="I54" s="39">
        <v>12579.99</v>
      </c>
      <c r="J54" s="37">
        <v>2830.93</v>
      </c>
      <c r="K54" s="37" t="s">
        <v>109</v>
      </c>
      <c r="L54" s="37" t="str">
        <f>IF(0.45*3603.98=0," ",TEXT(,ROUND((0.45*3603.98*5.82),2)))</f>
        <v>9438.82</v>
      </c>
      <c r="M54" s="37" t="s">
        <v>86</v>
      </c>
      <c r="N54" s="37" t="s">
        <v>110</v>
      </c>
    </row>
    <row r="55" spans="1:14" ht="56.25" x14ac:dyDescent="0.2">
      <c r="A55" s="35">
        <v>12</v>
      </c>
      <c r="B55" s="36" t="s">
        <v>111</v>
      </c>
      <c r="C55" s="36" t="s">
        <v>112</v>
      </c>
      <c r="D55" s="35">
        <v>6</v>
      </c>
      <c r="E55" s="37">
        <v>120.2</v>
      </c>
      <c r="F55" s="37"/>
      <c r="G55" s="37">
        <v>120.2</v>
      </c>
      <c r="H55" s="38" t="s">
        <v>113</v>
      </c>
      <c r="I55" s="39">
        <v>1401.3</v>
      </c>
      <c r="J55" s="37"/>
      <c r="K55" s="37"/>
      <c r="L55" s="37" t="str">
        <f>IF(6*120.2=0," ",TEXT(,ROUND((6*120.2*1.943),2)))</f>
        <v>1401.29</v>
      </c>
      <c r="M55" s="37"/>
      <c r="N55" s="37"/>
    </row>
    <row r="56" spans="1:14" ht="180" x14ac:dyDescent="0.2">
      <c r="A56" s="35">
        <v>13</v>
      </c>
      <c r="B56" s="36" t="s">
        <v>114</v>
      </c>
      <c r="C56" s="36" t="s">
        <v>115</v>
      </c>
      <c r="D56" s="35">
        <v>0.19</v>
      </c>
      <c r="E56" s="37" t="s">
        <v>116</v>
      </c>
      <c r="F56" s="37" t="s">
        <v>83</v>
      </c>
      <c r="G56" s="37">
        <v>3307.37</v>
      </c>
      <c r="H56" s="38" t="s">
        <v>117</v>
      </c>
      <c r="I56" s="39">
        <v>4895.59</v>
      </c>
      <c r="J56" s="37">
        <v>1195.28</v>
      </c>
      <c r="K56" s="37" t="s">
        <v>118</v>
      </c>
      <c r="L56" s="37" t="str">
        <f>IF(0.19*3307.37=0," ",TEXT(,ROUND((0.19*3307.37*5.68),2)))</f>
        <v>3569.31</v>
      </c>
      <c r="M56" s="37" t="s">
        <v>86</v>
      </c>
      <c r="N56" s="37" t="s">
        <v>119</v>
      </c>
    </row>
    <row r="57" spans="1:14" ht="56.25" x14ac:dyDescent="0.2">
      <c r="A57" s="35">
        <v>14</v>
      </c>
      <c r="B57" s="36" t="s">
        <v>120</v>
      </c>
      <c r="C57" s="36" t="s">
        <v>121</v>
      </c>
      <c r="D57" s="35">
        <v>6</v>
      </c>
      <c r="E57" s="37">
        <v>79.099999999999994</v>
      </c>
      <c r="F57" s="37"/>
      <c r="G57" s="37">
        <v>79.099999999999994</v>
      </c>
      <c r="H57" s="38" t="s">
        <v>122</v>
      </c>
      <c r="I57" s="39">
        <v>934.02</v>
      </c>
      <c r="J57" s="37"/>
      <c r="K57" s="37"/>
      <c r="L57" s="37" t="str">
        <f>IF(6*79.1=0," ",TEXT(,ROUND((6*79.1*1.968),2)))</f>
        <v>934.01</v>
      </c>
      <c r="M57" s="37"/>
      <c r="N57" s="37"/>
    </row>
    <row r="58" spans="1:14" ht="56.25" x14ac:dyDescent="0.2">
      <c r="A58" s="35">
        <v>15</v>
      </c>
      <c r="B58" s="36" t="s">
        <v>97</v>
      </c>
      <c r="C58" s="36" t="s">
        <v>98</v>
      </c>
      <c r="D58" s="35">
        <v>12</v>
      </c>
      <c r="E58" s="37">
        <v>53.8</v>
      </c>
      <c r="F58" s="37"/>
      <c r="G58" s="37">
        <v>53.8</v>
      </c>
      <c r="H58" s="38" t="s">
        <v>99</v>
      </c>
      <c r="I58" s="39">
        <v>1162.08</v>
      </c>
      <c r="J58" s="37"/>
      <c r="K58" s="37"/>
      <c r="L58" s="37" t="str">
        <f>IF(12*53.8=0," ",TEXT(,ROUND((12*53.8*1.8),2)))</f>
        <v>1162.08</v>
      </c>
      <c r="M58" s="37"/>
      <c r="N58" s="37"/>
    </row>
    <row r="59" spans="1:14" ht="191.25" x14ac:dyDescent="0.2">
      <c r="A59" s="35">
        <v>16</v>
      </c>
      <c r="B59" s="36" t="s">
        <v>123</v>
      </c>
      <c r="C59" s="36" t="s">
        <v>124</v>
      </c>
      <c r="D59" s="35">
        <v>1.83</v>
      </c>
      <c r="E59" s="37" t="s">
        <v>125</v>
      </c>
      <c r="F59" s="37">
        <v>55.64</v>
      </c>
      <c r="G59" s="37">
        <v>4.28</v>
      </c>
      <c r="H59" s="38" t="s">
        <v>126</v>
      </c>
      <c r="I59" s="39">
        <v>2013.46</v>
      </c>
      <c r="J59" s="37">
        <v>1882.74</v>
      </c>
      <c r="K59" s="37">
        <v>73.31</v>
      </c>
      <c r="L59" s="37" t="str">
        <f>IF(1.83*4.28=0," ",TEXT(,ROUND((1.83*4.28*7.33),2)))</f>
        <v>57.41</v>
      </c>
      <c r="M59" s="37">
        <v>5.76</v>
      </c>
      <c r="N59" s="37">
        <v>10.54</v>
      </c>
    </row>
    <row r="60" spans="1:14" ht="56.25" x14ac:dyDescent="0.2">
      <c r="A60" s="40">
        <v>17</v>
      </c>
      <c r="B60" s="41" t="s">
        <v>127</v>
      </c>
      <c r="C60" s="41" t="s">
        <v>128</v>
      </c>
      <c r="D60" s="40">
        <v>50</v>
      </c>
      <c r="E60" s="42">
        <v>11.98</v>
      </c>
      <c r="F60" s="42"/>
      <c r="G60" s="42">
        <v>11.98</v>
      </c>
      <c r="H60" s="43" t="s">
        <v>129</v>
      </c>
      <c r="I60" s="44">
        <v>1957</v>
      </c>
      <c r="J60" s="42"/>
      <c r="K60" s="42"/>
      <c r="L60" s="42" t="str">
        <f>IF(50*11.98=0," ",TEXT(,ROUND((50*11.98*3.267),2)))</f>
        <v>1956.93</v>
      </c>
      <c r="M60" s="42"/>
      <c r="N60" s="42"/>
    </row>
    <row r="61" spans="1:14" ht="22.5" x14ac:dyDescent="0.2">
      <c r="A61" s="77" t="s">
        <v>48</v>
      </c>
      <c r="B61" s="73"/>
      <c r="C61" s="73"/>
      <c r="D61" s="73"/>
      <c r="E61" s="73"/>
      <c r="F61" s="73"/>
      <c r="G61" s="73"/>
      <c r="H61" s="73"/>
      <c r="I61" s="39">
        <v>68146.16</v>
      </c>
      <c r="J61" s="37">
        <v>13717.78</v>
      </c>
      <c r="K61" s="37" t="s">
        <v>130</v>
      </c>
      <c r="L61" s="37">
        <v>52992.74</v>
      </c>
      <c r="M61" s="37"/>
      <c r="N61" s="37" t="s">
        <v>131</v>
      </c>
    </row>
    <row r="62" spans="1:14" x14ac:dyDescent="0.2">
      <c r="A62" s="77" t="s">
        <v>51</v>
      </c>
      <c r="B62" s="73"/>
      <c r="C62" s="73"/>
      <c r="D62" s="73"/>
      <c r="E62" s="73"/>
      <c r="F62" s="73"/>
      <c r="G62" s="73"/>
      <c r="H62" s="73"/>
      <c r="I62" s="39">
        <v>13515.98</v>
      </c>
      <c r="J62" s="37"/>
      <c r="K62" s="37"/>
      <c r="L62" s="37"/>
      <c r="M62" s="37"/>
      <c r="N62" s="37"/>
    </row>
    <row r="63" spans="1:14" x14ac:dyDescent="0.2">
      <c r="A63" s="77" t="s">
        <v>52</v>
      </c>
      <c r="B63" s="73"/>
      <c r="C63" s="73"/>
      <c r="D63" s="73"/>
      <c r="E63" s="73"/>
      <c r="F63" s="73"/>
      <c r="G63" s="73"/>
      <c r="H63" s="73"/>
      <c r="I63" s="39"/>
      <c r="J63" s="37"/>
      <c r="K63" s="37"/>
      <c r="L63" s="37"/>
      <c r="M63" s="37"/>
      <c r="N63" s="37"/>
    </row>
    <row r="64" spans="1:14" x14ac:dyDescent="0.2">
      <c r="A64" s="77" t="s">
        <v>132</v>
      </c>
      <c r="B64" s="73"/>
      <c r="C64" s="73"/>
      <c r="D64" s="73"/>
      <c r="E64" s="73"/>
      <c r="F64" s="73"/>
      <c r="G64" s="73"/>
      <c r="H64" s="73"/>
      <c r="I64" s="39">
        <v>13515.98</v>
      </c>
      <c r="J64" s="37"/>
      <c r="K64" s="37"/>
      <c r="L64" s="37"/>
      <c r="M64" s="37"/>
      <c r="N64" s="37"/>
    </row>
    <row r="65" spans="1:14" x14ac:dyDescent="0.2">
      <c r="A65" s="77" t="s">
        <v>55</v>
      </c>
      <c r="B65" s="73"/>
      <c r="C65" s="73"/>
      <c r="D65" s="73"/>
      <c r="E65" s="73"/>
      <c r="F65" s="73"/>
      <c r="G65" s="73"/>
      <c r="H65" s="73"/>
      <c r="I65" s="39">
        <v>7723.42</v>
      </c>
      <c r="J65" s="37"/>
      <c r="K65" s="37"/>
      <c r="L65" s="37"/>
      <c r="M65" s="37"/>
      <c r="N65" s="37"/>
    </row>
    <row r="66" spans="1:14" x14ac:dyDescent="0.2">
      <c r="A66" s="77" t="s">
        <v>52</v>
      </c>
      <c r="B66" s="73"/>
      <c r="C66" s="73"/>
      <c r="D66" s="73"/>
      <c r="E66" s="73"/>
      <c r="F66" s="73"/>
      <c r="G66" s="73"/>
      <c r="H66" s="73"/>
      <c r="I66" s="39"/>
      <c r="J66" s="37"/>
      <c r="K66" s="37"/>
      <c r="L66" s="37"/>
      <c r="M66" s="37"/>
      <c r="N66" s="37"/>
    </row>
    <row r="67" spans="1:14" x14ac:dyDescent="0.2">
      <c r="A67" s="77" t="s">
        <v>133</v>
      </c>
      <c r="B67" s="73"/>
      <c r="C67" s="73"/>
      <c r="D67" s="73"/>
      <c r="E67" s="73"/>
      <c r="F67" s="73"/>
      <c r="G67" s="73"/>
      <c r="H67" s="73"/>
      <c r="I67" s="39">
        <v>7723.42</v>
      </c>
      <c r="J67" s="37"/>
      <c r="K67" s="37"/>
      <c r="L67" s="37"/>
      <c r="M67" s="37"/>
      <c r="N67" s="37"/>
    </row>
    <row r="68" spans="1:14" x14ac:dyDescent="0.2">
      <c r="A68" s="81" t="s">
        <v>134</v>
      </c>
      <c r="B68" s="75"/>
      <c r="C68" s="75"/>
      <c r="D68" s="75"/>
      <c r="E68" s="75"/>
      <c r="F68" s="75"/>
      <c r="G68" s="75"/>
      <c r="H68" s="75"/>
      <c r="I68" s="39"/>
      <c r="J68" s="37"/>
      <c r="K68" s="37"/>
      <c r="L68" s="37"/>
      <c r="M68" s="37"/>
      <c r="N68" s="37"/>
    </row>
    <row r="69" spans="1:14" ht="22.5" x14ac:dyDescent="0.2">
      <c r="A69" s="77" t="s">
        <v>61</v>
      </c>
      <c r="B69" s="73"/>
      <c r="C69" s="73"/>
      <c r="D69" s="73"/>
      <c r="E69" s="73"/>
      <c r="F69" s="73"/>
      <c r="G69" s="73"/>
      <c r="H69" s="73"/>
      <c r="I69" s="39">
        <v>82488.94</v>
      </c>
      <c r="J69" s="37"/>
      <c r="K69" s="37"/>
      <c r="L69" s="37"/>
      <c r="M69" s="37"/>
      <c r="N69" s="37" t="s">
        <v>131</v>
      </c>
    </row>
    <row r="70" spans="1:14" x14ac:dyDescent="0.2">
      <c r="A70" s="77" t="s">
        <v>135</v>
      </c>
      <c r="B70" s="73"/>
      <c r="C70" s="73"/>
      <c r="D70" s="73"/>
      <c r="E70" s="73"/>
      <c r="F70" s="73"/>
      <c r="G70" s="73"/>
      <c r="H70" s="73"/>
      <c r="I70" s="39">
        <v>6896.62</v>
      </c>
      <c r="J70" s="37"/>
      <c r="K70" s="37"/>
      <c r="L70" s="37"/>
      <c r="M70" s="37"/>
      <c r="N70" s="37"/>
    </row>
    <row r="71" spans="1:14" ht="22.5" x14ac:dyDescent="0.2">
      <c r="A71" s="77" t="s">
        <v>62</v>
      </c>
      <c r="B71" s="73"/>
      <c r="C71" s="73"/>
      <c r="D71" s="73"/>
      <c r="E71" s="73"/>
      <c r="F71" s="73"/>
      <c r="G71" s="73"/>
      <c r="H71" s="73"/>
      <c r="I71" s="39">
        <v>89385.56</v>
      </c>
      <c r="J71" s="37"/>
      <c r="K71" s="37"/>
      <c r="L71" s="37"/>
      <c r="M71" s="37"/>
      <c r="N71" s="37" t="s">
        <v>131</v>
      </c>
    </row>
    <row r="72" spans="1:14" x14ac:dyDescent="0.2">
      <c r="A72" s="77" t="s">
        <v>63</v>
      </c>
      <c r="B72" s="73"/>
      <c r="C72" s="73"/>
      <c r="D72" s="73"/>
      <c r="E72" s="73"/>
      <c r="F72" s="73"/>
      <c r="G72" s="73"/>
      <c r="H72" s="73"/>
      <c r="I72" s="39"/>
      <c r="J72" s="37"/>
      <c r="K72" s="37"/>
      <c r="L72" s="37"/>
      <c r="M72" s="37"/>
      <c r="N72" s="37"/>
    </row>
    <row r="73" spans="1:14" x14ac:dyDescent="0.2">
      <c r="A73" s="77" t="s">
        <v>64</v>
      </c>
      <c r="B73" s="73"/>
      <c r="C73" s="73"/>
      <c r="D73" s="73"/>
      <c r="E73" s="73"/>
      <c r="F73" s="73"/>
      <c r="G73" s="73"/>
      <c r="H73" s="73"/>
      <c r="I73" s="39">
        <v>52992.74</v>
      </c>
      <c r="J73" s="37"/>
      <c r="K73" s="37"/>
      <c r="L73" s="37"/>
      <c r="M73" s="37"/>
      <c r="N73" s="37"/>
    </row>
    <row r="74" spans="1:14" x14ac:dyDescent="0.2">
      <c r="A74" s="77" t="s">
        <v>65</v>
      </c>
      <c r="B74" s="73"/>
      <c r="C74" s="73"/>
      <c r="D74" s="73"/>
      <c r="E74" s="73"/>
      <c r="F74" s="73"/>
      <c r="G74" s="73"/>
      <c r="H74" s="73"/>
      <c r="I74" s="39">
        <v>1435.64</v>
      </c>
      <c r="J74" s="37"/>
      <c r="K74" s="37"/>
      <c r="L74" s="37"/>
      <c r="M74" s="37"/>
      <c r="N74" s="37"/>
    </row>
    <row r="75" spans="1:14" x14ac:dyDescent="0.2">
      <c r="A75" s="77" t="s">
        <v>66</v>
      </c>
      <c r="B75" s="73"/>
      <c r="C75" s="73"/>
      <c r="D75" s="73"/>
      <c r="E75" s="73"/>
      <c r="F75" s="73"/>
      <c r="G75" s="73"/>
      <c r="H75" s="73"/>
      <c r="I75" s="39">
        <v>13791.82</v>
      </c>
      <c r="J75" s="37"/>
      <c r="K75" s="37"/>
      <c r="L75" s="37"/>
      <c r="M75" s="37"/>
      <c r="N75" s="37"/>
    </row>
    <row r="76" spans="1:14" x14ac:dyDescent="0.2">
      <c r="A76" s="77" t="s">
        <v>67</v>
      </c>
      <c r="B76" s="73"/>
      <c r="C76" s="73"/>
      <c r="D76" s="73"/>
      <c r="E76" s="73"/>
      <c r="F76" s="73"/>
      <c r="G76" s="73"/>
      <c r="H76" s="73"/>
      <c r="I76" s="39">
        <v>13515.98</v>
      </c>
      <c r="J76" s="37"/>
      <c r="K76" s="37"/>
      <c r="L76" s="37"/>
      <c r="M76" s="37"/>
      <c r="N76" s="37"/>
    </row>
    <row r="77" spans="1:14" x14ac:dyDescent="0.2">
      <c r="A77" s="77" t="s">
        <v>68</v>
      </c>
      <c r="B77" s="73"/>
      <c r="C77" s="73"/>
      <c r="D77" s="73"/>
      <c r="E77" s="73"/>
      <c r="F77" s="73"/>
      <c r="G77" s="73"/>
      <c r="H77" s="73"/>
      <c r="I77" s="39">
        <v>7723.42</v>
      </c>
      <c r="J77" s="37"/>
      <c r="K77" s="37"/>
      <c r="L77" s="37"/>
      <c r="M77" s="37"/>
      <c r="N77" s="37"/>
    </row>
    <row r="78" spans="1:14" ht="22.5" x14ac:dyDescent="0.2">
      <c r="A78" s="78" t="s">
        <v>136</v>
      </c>
      <c r="B78" s="79"/>
      <c r="C78" s="79"/>
      <c r="D78" s="79"/>
      <c r="E78" s="79"/>
      <c r="F78" s="79"/>
      <c r="G78" s="79"/>
      <c r="H78" s="79"/>
      <c r="I78" s="44">
        <v>89385.56</v>
      </c>
      <c r="J78" s="42"/>
      <c r="K78" s="42"/>
      <c r="L78" s="42"/>
      <c r="M78" s="42"/>
      <c r="N78" s="42" t="s">
        <v>131</v>
      </c>
    </row>
    <row r="79" spans="1:14" ht="17.850000000000001" customHeight="1" x14ac:dyDescent="0.2">
      <c r="A79" s="80" t="s">
        <v>137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4" ht="17.850000000000001" customHeight="1" x14ac:dyDescent="0.2">
      <c r="A80" s="82" t="s">
        <v>138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4" ht="180" x14ac:dyDescent="0.2">
      <c r="A81" s="35">
        <v>18</v>
      </c>
      <c r="B81" s="36" t="s">
        <v>88</v>
      </c>
      <c r="C81" s="36" t="s">
        <v>89</v>
      </c>
      <c r="D81" s="35">
        <v>0.68</v>
      </c>
      <c r="E81" s="37" t="s">
        <v>90</v>
      </c>
      <c r="F81" s="37" t="s">
        <v>83</v>
      </c>
      <c r="G81" s="37">
        <v>4319.0600000000004</v>
      </c>
      <c r="H81" s="38" t="s">
        <v>91</v>
      </c>
      <c r="I81" s="39">
        <v>21839.759999999998</v>
      </c>
      <c r="J81" s="37">
        <v>4277.8500000000004</v>
      </c>
      <c r="K81" s="37" t="s">
        <v>139</v>
      </c>
      <c r="L81" s="37" t="str">
        <f>IF(0.68*4319.06=0," ",TEXT(,ROUND((0.68*4319.06*5.82),2)))</f>
        <v>17093.11</v>
      </c>
      <c r="M81" s="37" t="s">
        <v>86</v>
      </c>
      <c r="N81" s="37" t="s">
        <v>140</v>
      </c>
    </row>
    <row r="82" spans="1:14" ht="180" x14ac:dyDescent="0.2">
      <c r="A82" s="35">
        <v>19</v>
      </c>
      <c r="B82" s="36" t="s">
        <v>141</v>
      </c>
      <c r="C82" s="36" t="s">
        <v>142</v>
      </c>
      <c r="D82" s="35">
        <v>1.92</v>
      </c>
      <c r="E82" s="37" t="s">
        <v>143</v>
      </c>
      <c r="F82" s="37" t="s">
        <v>83</v>
      </c>
      <c r="G82" s="37">
        <v>2856.9</v>
      </c>
      <c r="H82" s="38" t="s">
        <v>144</v>
      </c>
      <c r="I82" s="39">
        <v>43022.65</v>
      </c>
      <c r="J82" s="37">
        <v>12078.64</v>
      </c>
      <c r="K82" s="37" t="s">
        <v>145</v>
      </c>
      <c r="L82" s="37" t="str">
        <f>IF(1.92*2856.9=0," ",TEXT(,ROUND((1.92*2856.9*5.4),2)))</f>
        <v>29620.34</v>
      </c>
      <c r="M82" s="37" t="s">
        <v>86</v>
      </c>
      <c r="N82" s="37" t="s">
        <v>146</v>
      </c>
    </row>
    <row r="83" spans="1:14" ht="56.25" x14ac:dyDescent="0.2">
      <c r="A83" s="35">
        <v>20</v>
      </c>
      <c r="B83" s="36" t="s">
        <v>97</v>
      </c>
      <c r="C83" s="36" t="s">
        <v>98</v>
      </c>
      <c r="D83" s="35">
        <v>96</v>
      </c>
      <c r="E83" s="37">
        <v>53.8</v>
      </c>
      <c r="F83" s="37"/>
      <c r="G83" s="37">
        <v>53.8</v>
      </c>
      <c r="H83" s="38" t="s">
        <v>99</v>
      </c>
      <c r="I83" s="39">
        <v>9296.64</v>
      </c>
      <c r="J83" s="37"/>
      <c r="K83" s="37"/>
      <c r="L83" s="37" t="str">
        <f>IF(96*53.8=0," ",TEXT(,ROUND((96*53.8*1.8),2)))</f>
        <v>9296.64</v>
      </c>
      <c r="M83" s="37"/>
      <c r="N83" s="37"/>
    </row>
    <row r="84" spans="1:14" ht="17.850000000000001" customHeight="1" x14ac:dyDescent="0.2">
      <c r="A84" s="82" t="s">
        <v>147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1:14" ht="180" x14ac:dyDescent="0.2">
      <c r="A85" s="35">
        <v>21</v>
      </c>
      <c r="B85" s="36" t="s">
        <v>105</v>
      </c>
      <c r="C85" s="36" t="s">
        <v>106</v>
      </c>
      <c r="D85" s="35">
        <v>1.52</v>
      </c>
      <c r="E85" s="37" t="s">
        <v>107</v>
      </c>
      <c r="F85" s="37" t="s">
        <v>83</v>
      </c>
      <c r="G85" s="37">
        <v>3603.98</v>
      </c>
      <c r="H85" s="38" t="s">
        <v>108</v>
      </c>
      <c r="I85" s="39">
        <v>42492.42</v>
      </c>
      <c r="J85" s="37">
        <v>9562.26</v>
      </c>
      <c r="K85" s="37" t="s">
        <v>148</v>
      </c>
      <c r="L85" s="37" t="str">
        <f>IF(1.52*3603.98=0," ",TEXT(,ROUND((1.52*3603.98*5.82),2)))</f>
        <v>31882.25</v>
      </c>
      <c r="M85" s="37" t="s">
        <v>86</v>
      </c>
      <c r="N85" s="37" t="s">
        <v>149</v>
      </c>
    </row>
    <row r="86" spans="1:14" ht="180" x14ac:dyDescent="0.2">
      <c r="A86" s="35">
        <v>22</v>
      </c>
      <c r="B86" s="36" t="s">
        <v>114</v>
      </c>
      <c r="C86" s="36" t="s">
        <v>115</v>
      </c>
      <c r="D86" s="35">
        <v>1.64</v>
      </c>
      <c r="E86" s="37" t="s">
        <v>116</v>
      </c>
      <c r="F86" s="37" t="s">
        <v>83</v>
      </c>
      <c r="G86" s="37">
        <v>3307.37</v>
      </c>
      <c r="H86" s="38" t="s">
        <v>117</v>
      </c>
      <c r="I86" s="39">
        <v>42256.63</v>
      </c>
      <c r="J86" s="37">
        <v>10317.17</v>
      </c>
      <c r="K86" s="37" t="s">
        <v>150</v>
      </c>
      <c r="L86" s="37" t="str">
        <f>IF(1.64*3307.37=0," ",TEXT(,ROUND((1.64*3307.37*5.68),2)))</f>
        <v>30808.81</v>
      </c>
      <c r="M86" s="37" t="s">
        <v>86</v>
      </c>
      <c r="N86" s="37" t="s">
        <v>151</v>
      </c>
    </row>
    <row r="87" spans="1:14" ht="180" x14ac:dyDescent="0.2">
      <c r="A87" s="35">
        <v>23</v>
      </c>
      <c r="B87" s="36" t="s">
        <v>141</v>
      </c>
      <c r="C87" s="36" t="s">
        <v>142</v>
      </c>
      <c r="D87" s="35">
        <v>1.68</v>
      </c>
      <c r="E87" s="37" t="s">
        <v>143</v>
      </c>
      <c r="F87" s="37" t="s">
        <v>83</v>
      </c>
      <c r="G87" s="37">
        <v>2856.9</v>
      </c>
      <c r="H87" s="38" t="s">
        <v>144</v>
      </c>
      <c r="I87" s="39">
        <v>37644.82</v>
      </c>
      <c r="J87" s="37">
        <v>10568.81</v>
      </c>
      <c r="K87" s="37" t="s">
        <v>152</v>
      </c>
      <c r="L87" s="37" t="str">
        <f>IF(1.68*2856.9=0," ",TEXT(,ROUND((1.68*2856.9*5.4),2)))</f>
        <v>25917.8</v>
      </c>
      <c r="M87" s="37" t="s">
        <v>86</v>
      </c>
      <c r="N87" s="37" t="s">
        <v>153</v>
      </c>
    </row>
    <row r="88" spans="1:14" ht="56.25" x14ac:dyDescent="0.2">
      <c r="A88" s="35">
        <v>24</v>
      </c>
      <c r="B88" s="36" t="s">
        <v>97</v>
      </c>
      <c r="C88" s="36" t="s">
        <v>98</v>
      </c>
      <c r="D88" s="35">
        <v>48</v>
      </c>
      <c r="E88" s="37">
        <v>53.8</v>
      </c>
      <c r="F88" s="37"/>
      <c r="G88" s="37">
        <v>53.8</v>
      </c>
      <c r="H88" s="38" t="s">
        <v>99</v>
      </c>
      <c r="I88" s="39">
        <v>4648.32</v>
      </c>
      <c r="J88" s="37"/>
      <c r="K88" s="37"/>
      <c r="L88" s="37" t="str">
        <f>IF(48*53.8=0," ",TEXT(,ROUND((48*53.8*1.8),2)))</f>
        <v>4648.32</v>
      </c>
      <c r="M88" s="37"/>
      <c r="N88" s="37"/>
    </row>
    <row r="89" spans="1:14" ht="157.5" x14ac:dyDescent="0.2">
      <c r="A89" s="35">
        <v>25</v>
      </c>
      <c r="B89" s="36" t="s">
        <v>44</v>
      </c>
      <c r="C89" s="36" t="s">
        <v>154</v>
      </c>
      <c r="D89" s="35">
        <v>4.8</v>
      </c>
      <c r="E89" s="37" t="s">
        <v>155</v>
      </c>
      <c r="F89" s="37">
        <v>11.39</v>
      </c>
      <c r="G89" s="37">
        <v>492.35</v>
      </c>
      <c r="H89" s="38" t="s">
        <v>47</v>
      </c>
      <c r="I89" s="39">
        <v>30693.94</v>
      </c>
      <c r="J89" s="37">
        <v>4968.82</v>
      </c>
      <c r="K89" s="37">
        <v>508.9</v>
      </c>
      <c r="L89" s="37" t="str">
        <f>IF(4.8*492.35=0," ",TEXT(,ROUND((4.8*492.35*10.67),2)))</f>
        <v>25216.2</v>
      </c>
      <c r="M89" s="37">
        <v>7.02</v>
      </c>
      <c r="N89" s="37">
        <v>33.700000000000003</v>
      </c>
    </row>
    <row r="90" spans="1:14" ht="90" x14ac:dyDescent="0.2">
      <c r="A90" s="35">
        <v>26</v>
      </c>
      <c r="B90" s="36" t="s">
        <v>156</v>
      </c>
      <c r="C90" s="36" t="s">
        <v>157</v>
      </c>
      <c r="D90" s="35">
        <v>6</v>
      </c>
      <c r="E90" s="37">
        <v>106.36</v>
      </c>
      <c r="F90" s="37"/>
      <c r="G90" s="37">
        <v>106.36</v>
      </c>
      <c r="H90" s="38" t="s">
        <v>96</v>
      </c>
      <c r="I90" s="39">
        <v>3216.3</v>
      </c>
      <c r="J90" s="37"/>
      <c r="K90" s="37"/>
      <c r="L90" s="37" t="str">
        <f>IF(6*106.36=0," ",TEXT(,ROUND((6*106.36*5.04),2)))</f>
        <v>3216.33</v>
      </c>
      <c r="M90" s="37"/>
      <c r="N90" s="37"/>
    </row>
    <row r="91" spans="1:14" ht="191.25" x14ac:dyDescent="0.2">
      <c r="A91" s="35">
        <v>27</v>
      </c>
      <c r="B91" s="36" t="s">
        <v>123</v>
      </c>
      <c r="C91" s="36" t="s">
        <v>124</v>
      </c>
      <c r="D91" s="35">
        <v>7.44</v>
      </c>
      <c r="E91" s="37" t="s">
        <v>125</v>
      </c>
      <c r="F91" s="37">
        <v>55.64</v>
      </c>
      <c r="G91" s="37">
        <v>4.28</v>
      </c>
      <c r="H91" s="38" t="s">
        <v>126</v>
      </c>
      <c r="I91" s="39">
        <v>8185.86</v>
      </c>
      <c r="J91" s="37">
        <v>7654.42</v>
      </c>
      <c r="K91" s="37">
        <v>298.05</v>
      </c>
      <c r="L91" s="37" t="str">
        <f>IF(7.44*4.28=0," ",TEXT(,ROUND((7.44*4.28*7.33),2)))</f>
        <v>233.41</v>
      </c>
      <c r="M91" s="37">
        <v>5.76</v>
      </c>
      <c r="N91" s="37">
        <v>42.85</v>
      </c>
    </row>
    <row r="92" spans="1:14" ht="56.25" x14ac:dyDescent="0.2">
      <c r="A92" s="40">
        <v>28</v>
      </c>
      <c r="B92" s="41" t="s">
        <v>127</v>
      </c>
      <c r="C92" s="41" t="s">
        <v>128</v>
      </c>
      <c r="D92" s="40">
        <v>200</v>
      </c>
      <c r="E92" s="42">
        <v>11.98</v>
      </c>
      <c r="F92" s="42"/>
      <c r="G92" s="42">
        <v>11.98</v>
      </c>
      <c r="H92" s="43" t="s">
        <v>129</v>
      </c>
      <c r="I92" s="44">
        <v>7828</v>
      </c>
      <c r="J92" s="42"/>
      <c r="K92" s="42"/>
      <c r="L92" s="42" t="str">
        <f>IF(200*11.98=0," ",TEXT(,ROUND((200*11.98*3.267),2)))</f>
        <v>7827.73</v>
      </c>
      <c r="M92" s="42"/>
      <c r="N92" s="42"/>
    </row>
    <row r="93" spans="1:14" ht="22.5" x14ac:dyDescent="0.2">
      <c r="A93" s="77" t="s">
        <v>48</v>
      </c>
      <c r="B93" s="73"/>
      <c r="C93" s="73"/>
      <c r="D93" s="73"/>
      <c r="E93" s="73"/>
      <c r="F93" s="73"/>
      <c r="G93" s="73"/>
      <c r="H93" s="73"/>
      <c r="I93" s="39">
        <v>251125.34</v>
      </c>
      <c r="J93" s="37">
        <v>59427.97</v>
      </c>
      <c r="K93" s="37" t="s">
        <v>158</v>
      </c>
      <c r="L93" s="37">
        <v>185761.12</v>
      </c>
      <c r="M93" s="37"/>
      <c r="N93" s="37" t="s">
        <v>159</v>
      </c>
    </row>
    <row r="94" spans="1:14" x14ac:dyDescent="0.2">
      <c r="A94" s="77" t="s">
        <v>51</v>
      </c>
      <c r="B94" s="73"/>
      <c r="C94" s="73"/>
      <c r="D94" s="73"/>
      <c r="E94" s="73"/>
      <c r="F94" s="73"/>
      <c r="G94" s="73"/>
      <c r="H94" s="73"/>
      <c r="I94" s="39">
        <v>58523.26</v>
      </c>
      <c r="J94" s="37"/>
      <c r="K94" s="37"/>
      <c r="L94" s="37"/>
      <c r="M94" s="37"/>
      <c r="N94" s="37"/>
    </row>
    <row r="95" spans="1:14" x14ac:dyDescent="0.2">
      <c r="A95" s="77" t="s">
        <v>52</v>
      </c>
      <c r="B95" s="73"/>
      <c r="C95" s="73"/>
      <c r="D95" s="73"/>
      <c r="E95" s="73"/>
      <c r="F95" s="73"/>
      <c r="G95" s="73"/>
      <c r="H95" s="73"/>
      <c r="I95" s="39"/>
      <c r="J95" s="37"/>
      <c r="K95" s="37"/>
      <c r="L95" s="37"/>
      <c r="M95" s="37"/>
      <c r="N95" s="37"/>
    </row>
    <row r="96" spans="1:14" x14ac:dyDescent="0.2">
      <c r="A96" s="77" t="s">
        <v>160</v>
      </c>
      <c r="B96" s="73"/>
      <c r="C96" s="73"/>
      <c r="D96" s="73"/>
      <c r="E96" s="73"/>
      <c r="F96" s="73"/>
      <c r="G96" s="73"/>
      <c r="H96" s="73"/>
      <c r="I96" s="39">
        <v>58523.26</v>
      </c>
      <c r="J96" s="37"/>
      <c r="K96" s="37"/>
      <c r="L96" s="37"/>
      <c r="M96" s="37"/>
      <c r="N96" s="37"/>
    </row>
    <row r="97" spans="1:14" x14ac:dyDescent="0.2">
      <c r="A97" s="77" t="s">
        <v>55</v>
      </c>
      <c r="B97" s="73"/>
      <c r="C97" s="73"/>
      <c r="D97" s="73"/>
      <c r="E97" s="73"/>
      <c r="F97" s="73"/>
      <c r="G97" s="73"/>
      <c r="H97" s="73"/>
      <c r="I97" s="39">
        <v>33441.86</v>
      </c>
      <c r="J97" s="37"/>
      <c r="K97" s="37"/>
      <c r="L97" s="37"/>
      <c r="M97" s="37"/>
      <c r="N97" s="37"/>
    </row>
    <row r="98" spans="1:14" x14ac:dyDescent="0.2">
      <c r="A98" s="77" t="s">
        <v>52</v>
      </c>
      <c r="B98" s="73"/>
      <c r="C98" s="73"/>
      <c r="D98" s="73"/>
      <c r="E98" s="73"/>
      <c r="F98" s="73"/>
      <c r="G98" s="73"/>
      <c r="H98" s="73"/>
      <c r="I98" s="39"/>
      <c r="J98" s="37"/>
      <c r="K98" s="37"/>
      <c r="L98" s="37"/>
      <c r="M98" s="37"/>
      <c r="N98" s="37"/>
    </row>
    <row r="99" spans="1:14" x14ac:dyDescent="0.2">
      <c r="A99" s="77" t="s">
        <v>161</v>
      </c>
      <c r="B99" s="73"/>
      <c r="C99" s="73"/>
      <c r="D99" s="73"/>
      <c r="E99" s="73"/>
      <c r="F99" s="73"/>
      <c r="G99" s="73"/>
      <c r="H99" s="73"/>
      <c r="I99" s="39">
        <v>33441.86</v>
      </c>
      <c r="J99" s="37"/>
      <c r="K99" s="37"/>
      <c r="L99" s="37"/>
      <c r="M99" s="37"/>
      <c r="N99" s="37"/>
    </row>
    <row r="100" spans="1:14" x14ac:dyDescent="0.2">
      <c r="A100" s="81" t="s">
        <v>162</v>
      </c>
      <c r="B100" s="75"/>
      <c r="C100" s="75"/>
      <c r="D100" s="75"/>
      <c r="E100" s="75"/>
      <c r="F100" s="75"/>
      <c r="G100" s="75"/>
      <c r="H100" s="75"/>
      <c r="I100" s="39"/>
      <c r="J100" s="37"/>
      <c r="K100" s="37"/>
      <c r="L100" s="37"/>
      <c r="M100" s="37"/>
      <c r="N100" s="37"/>
    </row>
    <row r="101" spans="1:14" ht="22.5" x14ac:dyDescent="0.2">
      <c r="A101" s="77" t="s">
        <v>61</v>
      </c>
      <c r="B101" s="73"/>
      <c r="C101" s="73"/>
      <c r="D101" s="73"/>
      <c r="E101" s="73"/>
      <c r="F101" s="73"/>
      <c r="G101" s="73"/>
      <c r="H101" s="73"/>
      <c r="I101" s="39">
        <v>318101.2</v>
      </c>
      <c r="J101" s="37"/>
      <c r="K101" s="37"/>
      <c r="L101" s="37"/>
      <c r="M101" s="37"/>
      <c r="N101" s="37" t="s">
        <v>159</v>
      </c>
    </row>
    <row r="102" spans="1:14" x14ac:dyDescent="0.2">
      <c r="A102" s="77" t="s">
        <v>135</v>
      </c>
      <c r="B102" s="73"/>
      <c r="C102" s="73"/>
      <c r="D102" s="73"/>
      <c r="E102" s="73"/>
      <c r="F102" s="73"/>
      <c r="G102" s="73"/>
      <c r="H102" s="73"/>
      <c r="I102" s="39">
        <v>24989.26</v>
      </c>
      <c r="J102" s="37"/>
      <c r="K102" s="37"/>
      <c r="L102" s="37"/>
      <c r="M102" s="37"/>
      <c r="N102" s="37"/>
    </row>
    <row r="103" spans="1:14" ht="22.5" x14ac:dyDescent="0.2">
      <c r="A103" s="77" t="s">
        <v>62</v>
      </c>
      <c r="B103" s="73"/>
      <c r="C103" s="73"/>
      <c r="D103" s="73"/>
      <c r="E103" s="73"/>
      <c r="F103" s="73"/>
      <c r="G103" s="73"/>
      <c r="H103" s="73"/>
      <c r="I103" s="39">
        <v>343090.46</v>
      </c>
      <c r="J103" s="37"/>
      <c r="K103" s="37"/>
      <c r="L103" s="37"/>
      <c r="M103" s="37"/>
      <c r="N103" s="37" t="s">
        <v>159</v>
      </c>
    </row>
    <row r="104" spans="1:14" x14ac:dyDescent="0.2">
      <c r="A104" s="77" t="s">
        <v>63</v>
      </c>
      <c r="B104" s="73"/>
      <c r="C104" s="73"/>
      <c r="D104" s="73"/>
      <c r="E104" s="73"/>
      <c r="F104" s="73"/>
      <c r="G104" s="73"/>
      <c r="H104" s="73"/>
      <c r="I104" s="39"/>
      <c r="J104" s="37"/>
      <c r="K104" s="37"/>
      <c r="L104" s="37"/>
      <c r="M104" s="37"/>
      <c r="N104" s="37"/>
    </row>
    <row r="105" spans="1:14" x14ac:dyDescent="0.2">
      <c r="A105" s="77" t="s">
        <v>64</v>
      </c>
      <c r="B105" s="73"/>
      <c r="C105" s="73"/>
      <c r="D105" s="73"/>
      <c r="E105" s="73"/>
      <c r="F105" s="73"/>
      <c r="G105" s="73"/>
      <c r="H105" s="73"/>
      <c r="I105" s="39">
        <v>185761.12</v>
      </c>
      <c r="J105" s="37"/>
      <c r="K105" s="37"/>
      <c r="L105" s="37"/>
      <c r="M105" s="37"/>
      <c r="N105" s="37"/>
    </row>
    <row r="106" spans="1:14" x14ac:dyDescent="0.2">
      <c r="A106" s="77" t="s">
        <v>65</v>
      </c>
      <c r="B106" s="73"/>
      <c r="C106" s="73"/>
      <c r="D106" s="73"/>
      <c r="E106" s="73"/>
      <c r="F106" s="73"/>
      <c r="G106" s="73"/>
      <c r="H106" s="73"/>
      <c r="I106" s="39">
        <v>5936.25</v>
      </c>
      <c r="J106" s="37"/>
      <c r="K106" s="37"/>
      <c r="L106" s="37"/>
      <c r="M106" s="37"/>
      <c r="N106" s="37"/>
    </row>
    <row r="107" spans="1:14" x14ac:dyDescent="0.2">
      <c r="A107" s="77" t="s">
        <v>66</v>
      </c>
      <c r="B107" s="73"/>
      <c r="C107" s="73"/>
      <c r="D107" s="73"/>
      <c r="E107" s="73"/>
      <c r="F107" s="73"/>
      <c r="G107" s="73"/>
      <c r="H107" s="73"/>
      <c r="I107" s="39">
        <v>59717.61</v>
      </c>
      <c r="J107" s="37"/>
      <c r="K107" s="37"/>
      <c r="L107" s="37"/>
      <c r="M107" s="37"/>
      <c r="N107" s="37"/>
    </row>
    <row r="108" spans="1:14" x14ac:dyDescent="0.2">
      <c r="A108" s="77" t="s">
        <v>67</v>
      </c>
      <c r="B108" s="73"/>
      <c r="C108" s="73"/>
      <c r="D108" s="73"/>
      <c r="E108" s="73"/>
      <c r="F108" s="73"/>
      <c r="G108" s="73"/>
      <c r="H108" s="73"/>
      <c r="I108" s="39">
        <v>58523.26</v>
      </c>
      <c r="J108" s="37"/>
      <c r="K108" s="37"/>
      <c r="L108" s="37"/>
      <c r="M108" s="37"/>
      <c r="N108" s="37"/>
    </row>
    <row r="109" spans="1:14" x14ac:dyDescent="0.2">
      <c r="A109" s="77" t="s">
        <v>68</v>
      </c>
      <c r="B109" s="73"/>
      <c r="C109" s="73"/>
      <c r="D109" s="73"/>
      <c r="E109" s="73"/>
      <c r="F109" s="73"/>
      <c r="G109" s="73"/>
      <c r="H109" s="73"/>
      <c r="I109" s="39">
        <v>33441.86</v>
      </c>
      <c r="J109" s="37"/>
      <c r="K109" s="37"/>
      <c r="L109" s="37"/>
      <c r="M109" s="37"/>
      <c r="N109" s="37"/>
    </row>
    <row r="110" spans="1:14" ht="22.5" x14ac:dyDescent="0.2">
      <c r="A110" s="78" t="s">
        <v>163</v>
      </c>
      <c r="B110" s="79"/>
      <c r="C110" s="79"/>
      <c r="D110" s="79"/>
      <c r="E110" s="79"/>
      <c r="F110" s="79"/>
      <c r="G110" s="79"/>
      <c r="H110" s="79"/>
      <c r="I110" s="44">
        <v>343090.46</v>
      </c>
      <c r="J110" s="42"/>
      <c r="K110" s="42"/>
      <c r="L110" s="42"/>
      <c r="M110" s="42"/>
      <c r="N110" s="42" t="s">
        <v>159</v>
      </c>
    </row>
    <row r="111" spans="1:14" ht="17.850000000000001" customHeight="1" x14ac:dyDescent="0.2">
      <c r="A111" s="80" t="s">
        <v>164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91.25" x14ac:dyDescent="0.2">
      <c r="A112" s="35">
        <v>29</v>
      </c>
      <c r="B112" s="36" t="s">
        <v>165</v>
      </c>
      <c r="C112" s="36" t="s">
        <v>166</v>
      </c>
      <c r="D112" s="35">
        <v>1</v>
      </c>
      <c r="E112" s="37" t="s">
        <v>167</v>
      </c>
      <c r="F112" s="37" t="s">
        <v>168</v>
      </c>
      <c r="G112" s="37">
        <v>1891.69</v>
      </c>
      <c r="H112" s="38" t="s">
        <v>169</v>
      </c>
      <c r="I112" s="39">
        <v>7109.29</v>
      </c>
      <c r="J112" s="37">
        <v>1523.3</v>
      </c>
      <c r="K112" s="37" t="s">
        <v>170</v>
      </c>
      <c r="L112" s="37" t="str">
        <f>IF(1*1891.69=0," ",TEXT(,ROUND((1*1891.69*2.88),2)))</f>
        <v>5448.07</v>
      </c>
      <c r="M112" s="37" t="s">
        <v>171</v>
      </c>
      <c r="N112" s="37" t="s">
        <v>171</v>
      </c>
    </row>
    <row r="113" spans="1:14" ht="56.25" x14ac:dyDescent="0.2">
      <c r="A113" s="35">
        <v>30</v>
      </c>
      <c r="B113" s="36" t="s">
        <v>172</v>
      </c>
      <c r="C113" s="36" t="s">
        <v>173</v>
      </c>
      <c r="D113" s="35">
        <v>-1</v>
      </c>
      <c r="E113" s="37">
        <v>1172</v>
      </c>
      <c r="F113" s="37"/>
      <c r="G113" s="37">
        <v>1172</v>
      </c>
      <c r="H113" s="38" t="s">
        <v>174</v>
      </c>
      <c r="I113" s="39">
        <v>-2172.89</v>
      </c>
      <c r="J113" s="37"/>
      <c r="K113" s="37"/>
      <c r="L113" s="37" t="str">
        <f>IF(-1*1172=0," ",TEXT(,ROUND((-1*1172*1.854),2)))</f>
        <v>-2172.89</v>
      </c>
      <c r="M113" s="37"/>
      <c r="N113" s="37"/>
    </row>
    <row r="114" spans="1:14" ht="45" x14ac:dyDescent="0.2">
      <c r="A114" s="35">
        <v>31</v>
      </c>
      <c r="B114" s="36" t="s">
        <v>175</v>
      </c>
      <c r="C114" s="36" t="s">
        <v>176</v>
      </c>
      <c r="D114" s="35">
        <v>1</v>
      </c>
      <c r="E114" s="37">
        <v>566.32000000000005</v>
      </c>
      <c r="F114" s="37"/>
      <c r="G114" s="37">
        <v>566.32000000000005</v>
      </c>
      <c r="H114" s="38" t="s">
        <v>96</v>
      </c>
      <c r="I114" s="39">
        <v>2854.25</v>
      </c>
      <c r="J114" s="37"/>
      <c r="K114" s="37"/>
      <c r="L114" s="37" t="str">
        <f>IF(1*566.32=0," ",TEXT(,ROUND((1*566.32*5.04),2)))</f>
        <v>2854.25</v>
      </c>
      <c r="M114" s="37"/>
      <c r="N114" s="37"/>
    </row>
    <row r="115" spans="1:14" ht="146.25" x14ac:dyDescent="0.2">
      <c r="A115" s="35">
        <v>32</v>
      </c>
      <c r="B115" s="36" t="s">
        <v>177</v>
      </c>
      <c r="C115" s="36" t="s">
        <v>178</v>
      </c>
      <c r="D115" s="35">
        <v>0.1</v>
      </c>
      <c r="E115" s="37" t="s">
        <v>179</v>
      </c>
      <c r="F115" s="37" t="s">
        <v>180</v>
      </c>
      <c r="G115" s="37">
        <v>8246.36</v>
      </c>
      <c r="H115" s="38" t="s">
        <v>181</v>
      </c>
      <c r="I115" s="39">
        <v>1723.28</v>
      </c>
      <c r="J115" s="37">
        <v>162.58000000000001</v>
      </c>
      <c r="K115" s="37" t="s">
        <v>182</v>
      </c>
      <c r="L115" s="37" t="str">
        <f>IF(0.1*8246.36=0," ",TEXT(,ROUND((0.1*8246.36*1.8),2)))</f>
        <v>1484.34</v>
      </c>
      <c r="M115" s="37" t="s">
        <v>183</v>
      </c>
      <c r="N115" s="37" t="s">
        <v>184</v>
      </c>
    </row>
    <row r="116" spans="1:14" ht="67.5" x14ac:dyDescent="0.2">
      <c r="A116" s="35">
        <v>33</v>
      </c>
      <c r="B116" s="36" t="s">
        <v>185</v>
      </c>
      <c r="C116" s="36" t="s">
        <v>186</v>
      </c>
      <c r="D116" s="35">
        <v>-1</v>
      </c>
      <c r="E116" s="37">
        <v>823.6</v>
      </c>
      <c r="F116" s="37"/>
      <c r="G116" s="37">
        <v>823.6</v>
      </c>
      <c r="H116" s="38" t="s">
        <v>187</v>
      </c>
      <c r="I116" s="39">
        <v>-1476.71</v>
      </c>
      <c r="J116" s="37"/>
      <c r="K116" s="37"/>
      <c r="L116" s="37" t="str">
        <f>IF(-1*823.6=0," ",TEXT(,ROUND((-1*823.6*1.793),2)))</f>
        <v>-1476.71</v>
      </c>
      <c r="M116" s="37"/>
      <c r="N116" s="37"/>
    </row>
    <row r="117" spans="1:14" ht="56.25" x14ac:dyDescent="0.2">
      <c r="A117" s="35">
        <v>34</v>
      </c>
      <c r="B117" s="36" t="s">
        <v>188</v>
      </c>
      <c r="C117" s="36" t="s">
        <v>189</v>
      </c>
      <c r="D117" s="35">
        <v>1</v>
      </c>
      <c r="E117" s="37">
        <v>537.71</v>
      </c>
      <c r="F117" s="37"/>
      <c r="G117" s="37">
        <v>537.71</v>
      </c>
      <c r="H117" s="38" t="s">
        <v>190</v>
      </c>
      <c r="I117" s="39">
        <v>2025.02</v>
      </c>
      <c r="J117" s="37"/>
      <c r="K117" s="37"/>
      <c r="L117" s="37" t="str">
        <f>IF(1*537.71=0," ",TEXT(,ROUND((1*537.71*3.766),2)))</f>
        <v>2025.02</v>
      </c>
      <c r="M117" s="37"/>
      <c r="N117" s="37"/>
    </row>
    <row r="118" spans="1:14" ht="180" x14ac:dyDescent="0.2">
      <c r="A118" s="35">
        <v>35</v>
      </c>
      <c r="B118" s="36" t="s">
        <v>191</v>
      </c>
      <c r="C118" s="36" t="s">
        <v>192</v>
      </c>
      <c r="D118" s="35">
        <v>3</v>
      </c>
      <c r="E118" s="37" t="s">
        <v>193</v>
      </c>
      <c r="F118" s="37">
        <v>5.73</v>
      </c>
      <c r="G118" s="37">
        <v>80.66</v>
      </c>
      <c r="H118" s="38" t="s">
        <v>194</v>
      </c>
      <c r="I118" s="39">
        <v>1957.62</v>
      </c>
      <c r="J118" s="37">
        <v>705.45</v>
      </c>
      <c r="K118" s="37">
        <v>122.1</v>
      </c>
      <c r="L118" s="37" t="str">
        <f>IF(3*80.66=0," ",TEXT(,ROUND((3*80.66*4.67),2)))</f>
        <v>1130.05</v>
      </c>
      <c r="M118" s="37">
        <v>1.69</v>
      </c>
      <c r="N118" s="37">
        <v>5.07</v>
      </c>
    </row>
    <row r="119" spans="1:14" ht="56.25" x14ac:dyDescent="0.2">
      <c r="A119" s="40">
        <v>36</v>
      </c>
      <c r="B119" s="41" t="s">
        <v>94</v>
      </c>
      <c r="C119" s="41" t="s">
        <v>195</v>
      </c>
      <c r="D119" s="40">
        <v>3</v>
      </c>
      <c r="E119" s="42">
        <v>859.73</v>
      </c>
      <c r="F119" s="42"/>
      <c r="G119" s="42">
        <v>859.73</v>
      </c>
      <c r="H119" s="43" t="s">
        <v>96</v>
      </c>
      <c r="I119" s="44">
        <v>12999.12</v>
      </c>
      <c r="J119" s="42"/>
      <c r="K119" s="42"/>
      <c r="L119" s="42" t="str">
        <f>IF(3*859.73=0," ",TEXT(,ROUND((3*859.73*5.04),2)))</f>
        <v>12999.12</v>
      </c>
      <c r="M119" s="42"/>
      <c r="N119" s="42"/>
    </row>
    <row r="120" spans="1:14" ht="22.5" x14ac:dyDescent="0.2">
      <c r="A120" s="77" t="s">
        <v>48</v>
      </c>
      <c r="B120" s="73"/>
      <c r="C120" s="73"/>
      <c r="D120" s="73"/>
      <c r="E120" s="73"/>
      <c r="F120" s="73"/>
      <c r="G120" s="73"/>
      <c r="H120" s="73"/>
      <c r="I120" s="39">
        <v>25018.98</v>
      </c>
      <c r="J120" s="37">
        <v>2391.33</v>
      </c>
      <c r="K120" s="37" t="s">
        <v>196</v>
      </c>
      <c r="L120" s="37">
        <v>22291.26</v>
      </c>
      <c r="M120" s="37"/>
      <c r="N120" s="37" t="s">
        <v>197</v>
      </c>
    </row>
    <row r="121" spans="1:14" x14ac:dyDescent="0.2">
      <c r="A121" s="77" t="s">
        <v>51</v>
      </c>
      <c r="B121" s="73"/>
      <c r="C121" s="73"/>
      <c r="D121" s="73"/>
      <c r="E121" s="73"/>
      <c r="F121" s="73"/>
      <c r="G121" s="73"/>
      <c r="H121" s="73"/>
      <c r="I121" s="39">
        <v>2354.92</v>
      </c>
      <c r="J121" s="37"/>
      <c r="K121" s="37"/>
      <c r="L121" s="37"/>
      <c r="M121" s="37"/>
      <c r="N121" s="37"/>
    </row>
    <row r="122" spans="1:14" x14ac:dyDescent="0.2">
      <c r="A122" s="77" t="s">
        <v>52</v>
      </c>
      <c r="B122" s="73"/>
      <c r="C122" s="73"/>
      <c r="D122" s="73"/>
      <c r="E122" s="73"/>
      <c r="F122" s="73"/>
      <c r="G122" s="73"/>
      <c r="H122" s="73"/>
      <c r="I122" s="39"/>
      <c r="J122" s="37"/>
      <c r="K122" s="37"/>
      <c r="L122" s="37"/>
      <c r="M122" s="37"/>
      <c r="N122" s="37"/>
    </row>
    <row r="123" spans="1:14" x14ac:dyDescent="0.2">
      <c r="A123" s="77" t="s">
        <v>198</v>
      </c>
      <c r="B123" s="73"/>
      <c r="C123" s="73"/>
      <c r="D123" s="73"/>
      <c r="E123" s="73"/>
      <c r="F123" s="73"/>
      <c r="G123" s="73"/>
      <c r="H123" s="73"/>
      <c r="I123" s="39">
        <v>2354.92</v>
      </c>
      <c r="J123" s="37"/>
      <c r="K123" s="37"/>
      <c r="L123" s="37"/>
      <c r="M123" s="37"/>
      <c r="N123" s="37"/>
    </row>
    <row r="124" spans="1:14" x14ac:dyDescent="0.2">
      <c r="A124" s="77" t="s">
        <v>55</v>
      </c>
      <c r="B124" s="73"/>
      <c r="C124" s="73"/>
      <c r="D124" s="73"/>
      <c r="E124" s="73"/>
      <c r="F124" s="73"/>
      <c r="G124" s="73"/>
      <c r="H124" s="73"/>
      <c r="I124" s="39">
        <v>1345.67</v>
      </c>
      <c r="J124" s="37"/>
      <c r="K124" s="37"/>
      <c r="L124" s="37"/>
      <c r="M124" s="37"/>
      <c r="N124" s="37"/>
    </row>
    <row r="125" spans="1:14" x14ac:dyDescent="0.2">
      <c r="A125" s="77" t="s">
        <v>52</v>
      </c>
      <c r="B125" s="73"/>
      <c r="C125" s="73"/>
      <c r="D125" s="73"/>
      <c r="E125" s="73"/>
      <c r="F125" s="73"/>
      <c r="G125" s="73"/>
      <c r="H125" s="73"/>
      <c r="I125" s="39"/>
      <c r="J125" s="37"/>
      <c r="K125" s="37"/>
      <c r="L125" s="37"/>
      <c r="M125" s="37"/>
      <c r="N125" s="37"/>
    </row>
    <row r="126" spans="1:14" x14ac:dyDescent="0.2">
      <c r="A126" s="77" t="s">
        <v>199</v>
      </c>
      <c r="B126" s="73"/>
      <c r="C126" s="73"/>
      <c r="D126" s="73"/>
      <c r="E126" s="73"/>
      <c r="F126" s="73"/>
      <c r="G126" s="73"/>
      <c r="H126" s="73"/>
      <c r="I126" s="39">
        <v>1345.67</v>
      </c>
      <c r="J126" s="37"/>
      <c r="K126" s="37"/>
      <c r="L126" s="37"/>
      <c r="M126" s="37"/>
      <c r="N126" s="37"/>
    </row>
    <row r="127" spans="1:14" x14ac:dyDescent="0.2">
      <c r="A127" s="81" t="s">
        <v>200</v>
      </c>
      <c r="B127" s="75"/>
      <c r="C127" s="75"/>
      <c r="D127" s="75"/>
      <c r="E127" s="75"/>
      <c r="F127" s="75"/>
      <c r="G127" s="75"/>
      <c r="H127" s="75"/>
      <c r="I127" s="39"/>
      <c r="J127" s="37"/>
      <c r="K127" s="37"/>
      <c r="L127" s="37"/>
      <c r="M127" s="37"/>
      <c r="N127" s="37"/>
    </row>
    <row r="128" spans="1:14" ht="22.5" x14ac:dyDescent="0.2">
      <c r="A128" s="77" t="s">
        <v>61</v>
      </c>
      <c r="B128" s="73"/>
      <c r="C128" s="73"/>
      <c r="D128" s="73"/>
      <c r="E128" s="73"/>
      <c r="F128" s="73"/>
      <c r="G128" s="73"/>
      <c r="H128" s="73"/>
      <c r="I128" s="39">
        <v>14490.78</v>
      </c>
      <c r="J128" s="37"/>
      <c r="K128" s="37"/>
      <c r="L128" s="37"/>
      <c r="M128" s="37"/>
      <c r="N128" s="37" t="s">
        <v>197</v>
      </c>
    </row>
    <row r="129" spans="1:14" x14ac:dyDescent="0.2">
      <c r="A129" s="77" t="s">
        <v>135</v>
      </c>
      <c r="B129" s="73"/>
      <c r="C129" s="73"/>
      <c r="D129" s="73"/>
      <c r="E129" s="73"/>
      <c r="F129" s="73"/>
      <c r="G129" s="73"/>
      <c r="H129" s="73"/>
      <c r="I129" s="39">
        <v>14228.79</v>
      </c>
      <c r="J129" s="37"/>
      <c r="K129" s="37"/>
      <c r="L129" s="37"/>
      <c r="M129" s="37"/>
      <c r="N129" s="37"/>
    </row>
    <row r="130" spans="1:14" ht="22.5" x14ac:dyDescent="0.2">
      <c r="A130" s="77" t="s">
        <v>62</v>
      </c>
      <c r="B130" s="73"/>
      <c r="C130" s="73"/>
      <c r="D130" s="73"/>
      <c r="E130" s="73"/>
      <c r="F130" s="73"/>
      <c r="G130" s="73"/>
      <c r="H130" s="73"/>
      <c r="I130" s="39">
        <v>28719.57</v>
      </c>
      <c r="J130" s="37"/>
      <c r="K130" s="37"/>
      <c r="L130" s="37"/>
      <c r="M130" s="37"/>
      <c r="N130" s="37" t="s">
        <v>197</v>
      </c>
    </row>
    <row r="131" spans="1:14" x14ac:dyDescent="0.2">
      <c r="A131" s="77" t="s">
        <v>63</v>
      </c>
      <c r="B131" s="73"/>
      <c r="C131" s="73"/>
      <c r="D131" s="73"/>
      <c r="E131" s="73"/>
      <c r="F131" s="73"/>
      <c r="G131" s="73"/>
      <c r="H131" s="73"/>
      <c r="I131" s="39"/>
      <c r="J131" s="37"/>
      <c r="K131" s="37"/>
      <c r="L131" s="37"/>
      <c r="M131" s="37"/>
      <c r="N131" s="37"/>
    </row>
    <row r="132" spans="1:14" x14ac:dyDescent="0.2">
      <c r="A132" s="77" t="s">
        <v>64</v>
      </c>
      <c r="B132" s="73"/>
      <c r="C132" s="73"/>
      <c r="D132" s="73"/>
      <c r="E132" s="73"/>
      <c r="F132" s="73"/>
      <c r="G132" s="73"/>
      <c r="H132" s="73"/>
      <c r="I132" s="39">
        <v>22291.26</v>
      </c>
      <c r="J132" s="37"/>
      <c r="K132" s="37"/>
      <c r="L132" s="37"/>
      <c r="M132" s="37"/>
      <c r="N132" s="37"/>
    </row>
    <row r="133" spans="1:14" x14ac:dyDescent="0.2">
      <c r="A133" s="77" t="s">
        <v>65</v>
      </c>
      <c r="B133" s="73"/>
      <c r="C133" s="73"/>
      <c r="D133" s="73"/>
      <c r="E133" s="73"/>
      <c r="F133" s="73"/>
      <c r="G133" s="73"/>
      <c r="H133" s="73"/>
      <c r="I133" s="39">
        <v>336.39</v>
      </c>
      <c r="J133" s="37"/>
      <c r="K133" s="37"/>
      <c r="L133" s="37"/>
      <c r="M133" s="37"/>
      <c r="N133" s="37"/>
    </row>
    <row r="134" spans="1:14" x14ac:dyDescent="0.2">
      <c r="A134" s="77" t="s">
        <v>66</v>
      </c>
      <c r="B134" s="73"/>
      <c r="C134" s="73"/>
      <c r="D134" s="73"/>
      <c r="E134" s="73"/>
      <c r="F134" s="73"/>
      <c r="G134" s="73"/>
      <c r="H134" s="73"/>
      <c r="I134" s="39">
        <v>2402.98</v>
      </c>
      <c r="J134" s="37"/>
      <c r="K134" s="37"/>
      <c r="L134" s="37"/>
      <c r="M134" s="37"/>
      <c r="N134" s="37"/>
    </row>
    <row r="135" spans="1:14" x14ac:dyDescent="0.2">
      <c r="A135" s="77" t="s">
        <v>67</v>
      </c>
      <c r="B135" s="73"/>
      <c r="C135" s="73"/>
      <c r="D135" s="73"/>
      <c r="E135" s="73"/>
      <c r="F135" s="73"/>
      <c r="G135" s="73"/>
      <c r="H135" s="73"/>
      <c r="I135" s="39">
        <v>2354.92</v>
      </c>
      <c r="J135" s="37"/>
      <c r="K135" s="37"/>
      <c r="L135" s="37"/>
      <c r="M135" s="37"/>
      <c r="N135" s="37"/>
    </row>
    <row r="136" spans="1:14" x14ac:dyDescent="0.2">
      <c r="A136" s="77" t="s">
        <v>68</v>
      </c>
      <c r="B136" s="73"/>
      <c r="C136" s="73"/>
      <c r="D136" s="73"/>
      <c r="E136" s="73"/>
      <c r="F136" s="73"/>
      <c r="G136" s="73"/>
      <c r="H136" s="73"/>
      <c r="I136" s="39">
        <v>1345.67</v>
      </c>
      <c r="J136" s="37"/>
      <c r="K136" s="37"/>
      <c r="L136" s="37"/>
      <c r="M136" s="37"/>
      <c r="N136" s="37"/>
    </row>
    <row r="137" spans="1:14" ht="22.5" x14ac:dyDescent="0.2">
      <c r="A137" s="78" t="s">
        <v>201</v>
      </c>
      <c r="B137" s="79"/>
      <c r="C137" s="79"/>
      <c r="D137" s="79"/>
      <c r="E137" s="79"/>
      <c r="F137" s="79"/>
      <c r="G137" s="79"/>
      <c r="H137" s="79"/>
      <c r="I137" s="44">
        <v>28719.57</v>
      </c>
      <c r="J137" s="42"/>
      <c r="K137" s="42"/>
      <c r="L137" s="42"/>
      <c r="M137" s="42"/>
      <c r="N137" s="42" t="s">
        <v>197</v>
      </c>
    </row>
    <row r="138" spans="1:14" ht="17.850000000000001" customHeight="1" x14ac:dyDescent="0.2">
      <c r="A138" s="80" t="s">
        <v>202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1:14" ht="191.25" x14ac:dyDescent="0.2">
      <c r="A139" s="35">
        <v>37</v>
      </c>
      <c r="B139" s="36" t="s">
        <v>203</v>
      </c>
      <c r="C139" s="36" t="s">
        <v>204</v>
      </c>
      <c r="D139" s="35">
        <v>1.07</v>
      </c>
      <c r="E139" s="37" t="s">
        <v>205</v>
      </c>
      <c r="F139" s="37">
        <v>91.05</v>
      </c>
      <c r="G139" s="37">
        <v>478.08</v>
      </c>
      <c r="H139" s="38" t="s">
        <v>206</v>
      </c>
      <c r="I139" s="39">
        <v>19642.23</v>
      </c>
      <c r="J139" s="37">
        <v>17354.29</v>
      </c>
      <c r="K139" s="37">
        <v>932.34</v>
      </c>
      <c r="L139" s="37" t="str">
        <f>IF(1.07*478.08=0," ",TEXT(,ROUND((1.07*478.08*2.65),2)))</f>
        <v>1355.6</v>
      </c>
      <c r="M139" s="37">
        <v>108.33</v>
      </c>
      <c r="N139" s="37">
        <v>115.91</v>
      </c>
    </row>
    <row r="140" spans="1:14" ht="78.75" x14ac:dyDescent="0.2">
      <c r="A140" s="35">
        <v>38</v>
      </c>
      <c r="B140" s="36" t="s">
        <v>207</v>
      </c>
      <c r="C140" s="36" t="s">
        <v>208</v>
      </c>
      <c r="D140" s="35">
        <v>2.2040000000000002</v>
      </c>
      <c r="E140" s="37">
        <v>3497.75</v>
      </c>
      <c r="F140" s="37"/>
      <c r="G140" s="37">
        <v>3497.75</v>
      </c>
      <c r="H140" s="38" t="s">
        <v>209</v>
      </c>
      <c r="I140" s="39">
        <v>4579.16</v>
      </c>
      <c r="J140" s="37"/>
      <c r="K140" s="37"/>
      <c r="L140" s="37" t="str">
        <f>IF(2.204*3497.75=0," ",TEXT(,ROUND((2.204*3497.75*0.594),2)))</f>
        <v>4579.17</v>
      </c>
      <c r="M140" s="37"/>
      <c r="N140" s="37"/>
    </row>
    <row r="141" spans="1:14" ht="157.5" x14ac:dyDescent="0.2">
      <c r="A141" s="35">
        <v>39</v>
      </c>
      <c r="B141" s="36" t="s">
        <v>210</v>
      </c>
      <c r="C141" s="36" t="s">
        <v>211</v>
      </c>
      <c r="D141" s="35">
        <v>0.22</v>
      </c>
      <c r="E141" s="37" t="s">
        <v>212</v>
      </c>
      <c r="F141" s="37">
        <v>46.38</v>
      </c>
      <c r="G141" s="37">
        <v>4419.7299999999996</v>
      </c>
      <c r="H141" s="38" t="s">
        <v>213</v>
      </c>
      <c r="I141" s="39">
        <v>1598.75</v>
      </c>
      <c r="J141" s="37">
        <v>714.03</v>
      </c>
      <c r="K141" s="37">
        <v>97.13</v>
      </c>
      <c r="L141" s="37" t="str">
        <f>IF(0.22*4419.73=0," ",TEXT(,ROUND((0.22*4419.73*0.81),2)))</f>
        <v>787.6</v>
      </c>
      <c r="M141" s="37">
        <v>21.68</v>
      </c>
      <c r="N141" s="37">
        <v>4.7699999999999996</v>
      </c>
    </row>
    <row r="142" spans="1:14" ht="180" x14ac:dyDescent="0.2">
      <c r="A142" s="35">
        <v>40</v>
      </c>
      <c r="B142" s="36" t="s">
        <v>214</v>
      </c>
      <c r="C142" s="36" t="s">
        <v>215</v>
      </c>
      <c r="D142" s="35">
        <v>0.58699999999999997</v>
      </c>
      <c r="E142" s="37" t="s">
        <v>216</v>
      </c>
      <c r="F142" s="37">
        <v>63.24</v>
      </c>
      <c r="G142" s="37">
        <v>1404.64</v>
      </c>
      <c r="H142" s="38" t="s">
        <v>217</v>
      </c>
      <c r="I142" s="39">
        <v>9777.1200000000008</v>
      </c>
      <c r="J142" s="37">
        <v>2861.26</v>
      </c>
      <c r="K142" s="37">
        <v>352.65</v>
      </c>
      <c r="L142" s="37" t="str">
        <f>IF(0.587*1404.64=0," ",TEXT(,ROUND((0.587*1404.64*7.96),2)))</f>
        <v>6563.21</v>
      </c>
      <c r="M142" s="37">
        <v>36.78</v>
      </c>
      <c r="N142" s="37">
        <v>21.59</v>
      </c>
    </row>
    <row r="143" spans="1:14" ht="56.25" x14ac:dyDescent="0.2">
      <c r="A143" s="35">
        <v>41</v>
      </c>
      <c r="B143" s="36" t="s">
        <v>218</v>
      </c>
      <c r="C143" s="36" t="s">
        <v>219</v>
      </c>
      <c r="D143" s="35">
        <v>-6.7510000000000001E-2</v>
      </c>
      <c r="E143" s="37">
        <v>7800</v>
      </c>
      <c r="F143" s="37"/>
      <c r="G143" s="37">
        <v>7800</v>
      </c>
      <c r="H143" s="38" t="s">
        <v>220</v>
      </c>
      <c r="I143" s="39">
        <v>-5047.78</v>
      </c>
      <c r="J143" s="37"/>
      <c r="K143" s="37"/>
      <c r="L143" s="37" t="str">
        <f>IF(-0.06751*7800=0," ",TEXT(,ROUND((-0.06751*7800*9.586),2)))</f>
        <v>-5047.78</v>
      </c>
      <c r="M143" s="37"/>
      <c r="N143" s="37"/>
    </row>
    <row r="144" spans="1:14" ht="56.25" x14ac:dyDescent="0.2">
      <c r="A144" s="35">
        <v>42</v>
      </c>
      <c r="B144" s="36" t="s">
        <v>221</v>
      </c>
      <c r="C144" s="36" t="s">
        <v>222</v>
      </c>
      <c r="D144" s="35">
        <v>6.7510000000000001E-2</v>
      </c>
      <c r="E144" s="37">
        <v>22020</v>
      </c>
      <c r="F144" s="37"/>
      <c r="G144" s="37">
        <v>22020</v>
      </c>
      <c r="H144" s="38" t="s">
        <v>223</v>
      </c>
      <c r="I144" s="39">
        <v>2280.4</v>
      </c>
      <c r="J144" s="37"/>
      <c r="K144" s="37"/>
      <c r="L144" s="37" t="str">
        <f>IF(0.06751*22020=0," ",TEXT(,ROUND((0.06751*22020*1.534),2)))</f>
        <v>2280.4</v>
      </c>
      <c r="M144" s="37"/>
      <c r="N144" s="37"/>
    </row>
    <row r="145" spans="1:14" ht="123.75" x14ac:dyDescent="0.2">
      <c r="A145" s="35">
        <v>43</v>
      </c>
      <c r="B145" s="36" t="s">
        <v>224</v>
      </c>
      <c r="C145" s="36" t="s">
        <v>225</v>
      </c>
      <c r="D145" s="35">
        <v>1</v>
      </c>
      <c r="E145" s="37" t="s">
        <v>226</v>
      </c>
      <c r="F145" s="37" t="s">
        <v>227</v>
      </c>
      <c r="G145" s="37"/>
      <c r="H145" s="38" t="s">
        <v>228</v>
      </c>
      <c r="I145" s="39">
        <v>19791.41</v>
      </c>
      <c r="J145" s="37">
        <v>9045.15</v>
      </c>
      <c r="K145" s="37" t="s">
        <v>229</v>
      </c>
      <c r="L145" s="37" t="str">
        <f>IF(1*0=0," ",TEXT(,ROUND((1*0*1),2)))</f>
        <v xml:space="preserve"> </v>
      </c>
      <c r="M145" s="37" t="s">
        <v>230</v>
      </c>
      <c r="N145" s="37" t="s">
        <v>230</v>
      </c>
    </row>
    <row r="146" spans="1:14" ht="101.25" x14ac:dyDescent="0.2">
      <c r="A146" s="40">
        <v>44</v>
      </c>
      <c r="B146" s="41" t="s">
        <v>231</v>
      </c>
      <c r="C146" s="41" t="s">
        <v>232</v>
      </c>
      <c r="D146" s="40">
        <v>0.5</v>
      </c>
      <c r="E146" s="42" t="s">
        <v>233</v>
      </c>
      <c r="F146" s="42">
        <v>21.67</v>
      </c>
      <c r="G146" s="42">
        <v>1275.22</v>
      </c>
      <c r="H146" s="43" t="s">
        <v>234</v>
      </c>
      <c r="I146" s="44">
        <v>6464.22</v>
      </c>
      <c r="J146" s="42">
        <v>3422.66</v>
      </c>
      <c r="K146" s="42">
        <v>102.18</v>
      </c>
      <c r="L146" s="42" t="str">
        <f>IF(0.5*1275.22=0," ",TEXT(,ROUND((0.5*1275.22*4.61),2)))</f>
        <v>2939.38</v>
      </c>
      <c r="M146" s="42">
        <v>55.16</v>
      </c>
      <c r="N146" s="42">
        <v>27.58</v>
      </c>
    </row>
    <row r="147" spans="1:14" ht="22.5" x14ac:dyDescent="0.2">
      <c r="A147" s="77" t="s">
        <v>48</v>
      </c>
      <c r="B147" s="73"/>
      <c r="C147" s="73"/>
      <c r="D147" s="73"/>
      <c r="E147" s="73"/>
      <c r="F147" s="73"/>
      <c r="G147" s="73"/>
      <c r="H147" s="73"/>
      <c r="I147" s="39">
        <v>59085.51</v>
      </c>
      <c r="J147" s="37">
        <v>33397.39</v>
      </c>
      <c r="K147" s="37" t="s">
        <v>235</v>
      </c>
      <c r="L147" s="37">
        <v>13457.56</v>
      </c>
      <c r="M147" s="37"/>
      <c r="N147" s="37" t="s">
        <v>236</v>
      </c>
    </row>
    <row r="148" spans="1:14" x14ac:dyDescent="0.2">
      <c r="A148" s="77" t="s">
        <v>51</v>
      </c>
      <c r="B148" s="73"/>
      <c r="C148" s="73"/>
      <c r="D148" s="73"/>
      <c r="E148" s="73"/>
      <c r="F148" s="73"/>
      <c r="G148" s="73"/>
      <c r="H148" s="73"/>
      <c r="I148" s="39">
        <v>28628.14</v>
      </c>
      <c r="J148" s="37"/>
      <c r="K148" s="37"/>
      <c r="L148" s="37"/>
      <c r="M148" s="37"/>
      <c r="N148" s="37"/>
    </row>
    <row r="149" spans="1:14" x14ac:dyDescent="0.2">
      <c r="A149" s="77" t="s">
        <v>52</v>
      </c>
      <c r="B149" s="73"/>
      <c r="C149" s="73"/>
      <c r="D149" s="73"/>
      <c r="E149" s="73"/>
      <c r="F149" s="73"/>
      <c r="G149" s="73"/>
      <c r="H149" s="73"/>
      <c r="I149" s="39"/>
      <c r="J149" s="37"/>
      <c r="K149" s="37"/>
      <c r="L149" s="37"/>
      <c r="M149" s="37"/>
      <c r="N149" s="37"/>
    </row>
    <row r="150" spans="1:14" x14ac:dyDescent="0.2">
      <c r="A150" s="77" t="s">
        <v>237</v>
      </c>
      <c r="B150" s="73"/>
      <c r="C150" s="73"/>
      <c r="D150" s="73"/>
      <c r="E150" s="73"/>
      <c r="F150" s="73"/>
      <c r="G150" s="73"/>
      <c r="H150" s="73"/>
      <c r="I150" s="39">
        <v>16115.78</v>
      </c>
      <c r="J150" s="37"/>
      <c r="K150" s="37"/>
      <c r="L150" s="37"/>
      <c r="M150" s="37"/>
      <c r="N150" s="37"/>
    </row>
    <row r="151" spans="1:14" x14ac:dyDescent="0.2">
      <c r="A151" s="77" t="s">
        <v>238</v>
      </c>
      <c r="B151" s="73"/>
      <c r="C151" s="73"/>
      <c r="D151" s="73"/>
      <c r="E151" s="73"/>
      <c r="F151" s="73"/>
      <c r="G151" s="73"/>
      <c r="H151" s="73"/>
      <c r="I151" s="39">
        <v>12512.36</v>
      </c>
      <c r="J151" s="37"/>
      <c r="K151" s="37"/>
      <c r="L151" s="37"/>
      <c r="M151" s="37"/>
      <c r="N151" s="37"/>
    </row>
    <row r="152" spans="1:14" x14ac:dyDescent="0.2">
      <c r="A152" s="77" t="s">
        <v>55</v>
      </c>
      <c r="B152" s="73"/>
      <c r="C152" s="73"/>
      <c r="D152" s="73"/>
      <c r="E152" s="73"/>
      <c r="F152" s="73"/>
      <c r="G152" s="73"/>
      <c r="H152" s="73"/>
      <c r="I152" s="39">
        <v>17196.12</v>
      </c>
      <c r="J152" s="37"/>
      <c r="K152" s="37"/>
      <c r="L152" s="37"/>
      <c r="M152" s="37"/>
      <c r="N152" s="37"/>
    </row>
    <row r="153" spans="1:14" x14ac:dyDescent="0.2">
      <c r="A153" s="77" t="s">
        <v>52</v>
      </c>
      <c r="B153" s="73"/>
      <c r="C153" s="73"/>
      <c r="D153" s="73"/>
      <c r="E153" s="73"/>
      <c r="F153" s="73"/>
      <c r="G153" s="73"/>
      <c r="H153" s="73"/>
      <c r="I153" s="39"/>
      <c r="J153" s="37"/>
      <c r="K153" s="37"/>
      <c r="L153" s="37"/>
      <c r="M153" s="37"/>
      <c r="N153" s="37"/>
    </row>
    <row r="154" spans="1:14" x14ac:dyDescent="0.2">
      <c r="A154" s="77" t="s">
        <v>239</v>
      </c>
      <c r="B154" s="73"/>
      <c r="C154" s="73"/>
      <c r="D154" s="73"/>
      <c r="E154" s="73"/>
      <c r="F154" s="73"/>
      <c r="G154" s="73"/>
      <c r="H154" s="73"/>
      <c r="I154" s="39">
        <v>17196.12</v>
      </c>
      <c r="J154" s="37"/>
      <c r="K154" s="37"/>
      <c r="L154" s="37"/>
      <c r="M154" s="37"/>
      <c r="N154" s="37"/>
    </row>
    <row r="155" spans="1:14" x14ac:dyDescent="0.2">
      <c r="A155" s="81" t="s">
        <v>240</v>
      </c>
      <c r="B155" s="75"/>
      <c r="C155" s="75"/>
      <c r="D155" s="75"/>
      <c r="E155" s="75"/>
      <c r="F155" s="75"/>
      <c r="G155" s="75"/>
      <c r="H155" s="75"/>
      <c r="I155" s="39"/>
      <c r="J155" s="37"/>
      <c r="K155" s="37"/>
      <c r="L155" s="37"/>
      <c r="M155" s="37"/>
      <c r="N155" s="37"/>
    </row>
    <row r="156" spans="1:14" x14ac:dyDescent="0.2">
      <c r="A156" s="77" t="s">
        <v>241</v>
      </c>
      <c r="B156" s="73"/>
      <c r="C156" s="73"/>
      <c r="D156" s="73"/>
      <c r="E156" s="73"/>
      <c r="F156" s="73"/>
      <c r="G156" s="73"/>
      <c r="H156" s="73"/>
      <c r="I156" s="39">
        <v>57180.08</v>
      </c>
      <c r="J156" s="37"/>
      <c r="K156" s="37"/>
      <c r="L156" s="37"/>
      <c r="M156" s="37"/>
      <c r="N156" s="37">
        <v>142.27000000000001</v>
      </c>
    </row>
    <row r="157" spans="1:14" x14ac:dyDescent="0.2">
      <c r="A157" s="77" t="s">
        <v>135</v>
      </c>
      <c r="B157" s="73"/>
      <c r="C157" s="73"/>
      <c r="D157" s="73"/>
      <c r="E157" s="73"/>
      <c r="F157" s="73"/>
      <c r="G157" s="73"/>
      <c r="H157" s="73"/>
      <c r="I157" s="39">
        <v>1811.78</v>
      </c>
      <c r="J157" s="37"/>
      <c r="K157" s="37"/>
      <c r="L157" s="37"/>
      <c r="M157" s="37"/>
      <c r="N157" s="37"/>
    </row>
    <row r="158" spans="1:14" ht="22.5" x14ac:dyDescent="0.2">
      <c r="A158" s="77" t="s">
        <v>242</v>
      </c>
      <c r="B158" s="73"/>
      <c r="C158" s="73"/>
      <c r="D158" s="73"/>
      <c r="E158" s="73"/>
      <c r="F158" s="73"/>
      <c r="G158" s="73"/>
      <c r="H158" s="73"/>
      <c r="I158" s="39">
        <v>45917.91</v>
      </c>
      <c r="J158" s="37"/>
      <c r="K158" s="37"/>
      <c r="L158" s="37"/>
      <c r="M158" s="37"/>
      <c r="N158" s="37" t="s">
        <v>243</v>
      </c>
    </row>
    <row r="159" spans="1:14" ht="22.5" x14ac:dyDescent="0.2">
      <c r="A159" s="77" t="s">
        <v>62</v>
      </c>
      <c r="B159" s="73"/>
      <c r="C159" s="73"/>
      <c r="D159" s="73"/>
      <c r="E159" s="73"/>
      <c r="F159" s="73"/>
      <c r="G159" s="73"/>
      <c r="H159" s="73"/>
      <c r="I159" s="39">
        <v>104909.77</v>
      </c>
      <c r="J159" s="37"/>
      <c r="K159" s="37"/>
      <c r="L159" s="37"/>
      <c r="M159" s="37"/>
      <c r="N159" s="37" t="s">
        <v>236</v>
      </c>
    </row>
    <row r="160" spans="1:14" x14ac:dyDescent="0.2">
      <c r="A160" s="77" t="s">
        <v>63</v>
      </c>
      <c r="B160" s="73"/>
      <c r="C160" s="73"/>
      <c r="D160" s="73"/>
      <c r="E160" s="73"/>
      <c r="F160" s="73"/>
      <c r="G160" s="73"/>
      <c r="H160" s="73"/>
      <c r="I160" s="39"/>
      <c r="J160" s="37"/>
      <c r="K160" s="37"/>
      <c r="L160" s="37"/>
      <c r="M160" s="37"/>
      <c r="N160" s="37"/>
    </row>
    <row r="161" spans="1:14" x14ac:dyDescent="0.2">
      <c r="A161" s="77" t="s">
        <v>64</v>
      </c>
      <c r="B161" s="73"/>
      <c r="C161" s="73"/>
      <c r="D161" s="73"/>
      <c r="E161" s="73"/>
      <c r="F161" s="73"/>
      <c r="G161" s="73"/>
      <c r="H161" s="73"/>
      <c r="I161" s="39">
        <v>13457.56</v>
      </c>
      <c r="J161" s="37"/>
      <c r="K161" s="37"/>
      <c r="L161" s="37"/>
      <c r="M161" s="37"/>
      <c r="N161" s="37"/>
    </row>
    <row r="162" spans="1:14" x14ac:dyDescent="0.2">
      <c r="A162" s="77" t="s">
        <v>65</v>
      </c>
      <c r="B162" s="73"/>
      <c r="C162" s="73"/>
      <c r="D162" s="73"/>
      <c r="E162" s="73"/>
      <c r="F162" s="73"/>
      <c r="G162" s="73"/>
      <c r="H162" s="73"/>
      <c r="I162" s="39">
        <v>12230.56</v>
      </c>
      <c r="J162" s="37"/>
      <c r="K162" s="37"/>
      <c r="L162" s="37"/>
      <c r="M162" s="37"/>
      <c r="N162" s="37"/>
    </row>
    <row r="163" spans="1:14" x14ac:dyDescent="0.2">
      <c r="A163" s="77" t="s">
        <v>66</v>
      </c>
      <c r="B163" s="73"/>
      <c r="C163" s="73"/>
      <c r="D163" s="73"/>
      <c r="E163" s="73"/>
      <c r="F163" s="73"/>
      <c r="G163" s="73"/>
      <c r="H163" s="73"/>
      <c r="I163" s="39">
        <v>35825.25</v>
      </c>
      <c r="J163" s="37"/>
      <c r="K163" s="37"/>
      <c r="L163" s="37"/>
      <c r="M163" s="37"/>
      <c r="N163" s="37"/>
    </row>
    <row r="164" spans="1:14" x14ac:dyDescent="0.2">
      <c r="A164" s="77" t="s">
        <v>67</v>
      </c>
      <c r="B164" s="73"/>
      <c r="C164" s="73"/>
      <c r="D164" s="73"/>
      <c r="E164" s="73"/>
      <c r="F164" s="73"/>
      <c r="G164" s="73"/>
      <c r="H164" s="73"/>
      <c r="I164" s="39">
        <v>28628.14</v>
      </c>
      <c r="J164" s="37"/>
      <c r="K164" s="37"/>
      <c r="L164" s="37"/>
      <c r="M164" s="37"/>
      <c r="N164" s="37"/>
    </row>
    <row r="165" spans="1:14" x14ac:dyDescent="0.2">
      <c r="A165" s="77" t="s">
        <v>68</v>
      </c>
      <c r="B165" s="73"/>
      <c r="C165" s="73"/>
      <c r="D165" s="73"/>
      <c r="E165" s="73"/>
      <c r="F165" s="73"/>
      <c r="G165" s="73"/>
      <c r="H165" s="73"/>
      <c r="I165" s="39">
        <v>17196.12</v>
      </c>
      <c r="J165" s="37"/>
      <c r="K165" s="37"/>
      <c r="L165" s="37"/>
      <c r="M165" s="37"/>
      <c r="N165" s="37"/>
    </row>
    <row r="166" spans="1:14" ht="22.5" x14ac:dyDescent="0.2">
      <c r="A166" s="78" t="s">
        <v>244</v>
      </c>
      <c r="B166" s="79"/>
      <c r="C166" s="79"/>
      <c r="D166" s="79"/>
      <c r="E166" s="79"/>
      <c r="F166" s="79"/>
      <c r="G166" s="79"/>
      <c r="H166" s="79"/>
      <c r="I166" s="44">
        <v>104909.77</v>
      </c>
      <c r="J166" s="42"/>
      <c r="K166" s="42"/>
      <c r="L166" s="42"/>
      <c r="M166" s="42"/>
      <c r="N166" s="42" t="s">
        <v>236</v>
      </c>
    </row>
    <row r="167" spans="1:14" ht="17.850000000000001" customHeight="1" x14ac:dyDescent="0.2">
      <c r="A167" s="80" t="s">
        <v>245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1:14" ht="78.75" x14ac:dyDescent="0.2">
      <c r="A168" s="35">
        <v>45</v>
      </c>
      <c r="B168" s="36" t="s">
        <v>246</v>
      </c>
      <c r="C168" s="36" t="s">
        <v>247</v>
      </c>
      <c r="D168" s="35">
        <v>1.0760000000000001</v>
      </c>
      <c r="E168" s="37" t="s">
        <v>248</v>
      </c>
      <c r="F168" s="37"/>
      <c r="G168" s="37"/>
      <c r="H168" s="38" t="s">
        <v>249</v>
      </c>
      <c r="I168" s="39">
        <v>709.42</v>
      </c>
      <c r="J168" s="37">
        <v>709.42</v>
      </c>
      <c r="K168" s="37"/>
      <c r="L168" s="37" t="str">
        <f>IF(1.076*0=0," ",TEXT(,ROUND((1.076*0*1),2)))</f>
        <v xml:space="preserve"> </v>
      </c>
      <c r="M168" s="37"/>
      <c r="N168" s="37"/>
    </row>
    <row r="169" spans="1:14" ht="112.5" x14ac:dyDescent="0.2">
      <c r="A169" s="40">
        <v>46</v>
      </c>
      <c r="B169" s="41" t="s">
        <v>250</v>
      </c>
      <c r="C169" s="41" t="s">
        <v>251</v>
      </c>
      <c r="D169" s="40">
        <v>1.0760000000000001</v>
      </c>
      <c r="E169" s="42">
        <v>6.69</v>
      </c>
      <c r="F169" s="42">
        <v>6.69</v>
      </c>
      <c r="G169" s="42"/>
      <c r="H169" s="43" t="s">
        <v>252</v>
      </c>
      <c r="I169" s="44">
        <v>58.45</v>
      </c>
      <c r="J169" s="42"/>
      <c r="K169" s="42">
        <v>58.45</v>
      </c>
      <c r="L169" s="42" t="str">
        <f>IF(1.076*0=0," ",TEXT(,ROUND((1.076*0*1),2)))</f>
        <v xml:space="preserve"> </v>
      </c>
      <c r="M169" s="42"/>
      <c r="N169" s="42"/>
    </row>
    <row r="170" spans="1:14" x14ac:dyDescent="0.2">
      <c r="A170" s="77" t="s">
        <v>48</v>
      </c>
      <c r="B170" s="73"/>
      <c r="C170" s="73"/>
      <c r="D170" s="73"/>
      <c r="E170" s="73"/>
      <c r="F170" s="73"/>
      <c r="G170" s="73"/>
      <c r="H170" s="73"/>
      <c r="I170" s="39">
        <v>767.87</v>
      </c>
      <c r="J170" s="37">
        <v>709.42</v>
      </c>
      <c r="K170" s="37">
        <v>58.45</v>
      </c>
      <c r="L170" s="37"/>
      <c r="M170" s="37"/>
      <c r="N170" s="37"/>
    </row>
    <row r="171" spans="1:14" x14ac:dyDescent="0.2">
      <c r="A171" s="81" t="s">
        <v>253</v>
      </c>
      <c r="B171" s="75"/>
      <c r="C171" s="75"/>
      <c r="D171" s="75"/>
      <c r="E171" s="75"/>
      <c r="F171" s="75"/>
      <c r="G171" s="75"/>
      <c r="H171" s="75"/>
      <c r="I171" s="39"/>
      <c r="J171" s="37"/>
      <c r="K171" s="37"/>
      <c r="L171" s="37"/>
      <c r="M171" s="37"/>
      <c r="N171" s="37"/>
    </row>
    <row r="172" spans="1:14" x14ac:dyDescent="0.2">
      <c r="A172" s="77" t="s">
        <v>254</v>
      </c>
      <c r="B172" s="73"/>
      <c r="C172" s="73"/>
      <c r="D172" s="73"/>
      <c r="E172" s="73"/>
      <c r="F172" s="73"/>
      <c r="G172" s="73"/>
      <c r="H172" s="73"/>
      <c r="I172" s="39">
        <v>709.42</v>
      </c>
      <c r="J172" s="37"/>
      <c r="K172" s="37"/>
      <c r="L172" s="37"/>
      <c r="M172" s="37"/>
      <c r="N172" s="37"/>
    </row>
    <row r="173" spans="1:14" x14ac:dyDescent="0.2">
      <c r="A173" s="77" t="s">
        <v>255</v>
      </c>
      <c r="B173" s="73"/>
      <c r="C173" s="73"/>
      <c r="D173" s="73"/>
      <c r="E173" s="73"/>
      <c r="F173" s="73"/>
      <c r="G173" s="73"/>
      <c r="H173" s="73"/>
      <c r="I173" s="39">
        <v>58.45</v>
      </c>
      <c r="J173" s="37"/>
      <c r="K173" s="37"/>
      <c r="L173" s="37"/>
      <c r="M173" s="37"/>
      <c r="N173" s="37"/>
    </row>
    <row r="174" spans="1:14" x14ac:dyDescent="0.2">
      <c r="A174" s="77" t="s">
        <v>62</v>
      </c>
      <c r="B174" s="73"/>
      <c r="C174" s="73"/>
      <c r="D174" s="73"/>
      <c r="E174" s="73"/>
      <c r="F174" s="73"/>
      <c r="G174" s="73"/>
      <c r="H174" s="73"/>
      <c r="I174" s="39">
        <v>767.87</v>
      </c>
      <c r="J174" s="37"/>
      <c r="K174" s="37"/>
      <c r="L174" s="37"/>
      <c r="M174" s="37"/>
      <c r="N174" s="37"/>
    </row>
    <row r="175" spans="1:14" x14ac:dyDescent="0.2">
      <c r="A175" s="77" t="s">
        <v>63</v>
      </c>
      <c r="B175" s="73"/>
      <c r="C175" s="73"/>
      <c r="D175" s="73"/>
      <c r="E175" s="73"/>
      <c r="F175" s="73"/>
      <c r="G175" s="73"/>
      <c r="H175" s="73"/>
      <c r="I175" s="39"/>
      <c r="J175" s="37"/>
      <c r="K175" s="37"/>
      <c r="L175" s="37"/>
      <c r="M175" s="37"/>
      <c r="N175" s="37"/>
    </row>
    <row r="176" spans="1:14" x14ac:dyDescent="0.2">
      <c r="A176" s="77" t="s">
        <v>65</v>
      </c>
      <c r="B176" s="73"/>
      <c r="C176" s="73"/>
      <c r="D176" s="73"/>
      <c r="E176" s="73"/>
      <c r="F176" s="73"/>
      <c r="G176" s="73"/>
      <c r="H176" s="73"/>
      <c r="I176" s="39">
        <v>58.45</v>
      </c>
      <c r="J176" s="37"/>
      <c r="K176" s="37"/>
      <c r="L176" s="37"/>
      <c r="M176" s="37"/>
      <c r="N176" s="37"/>
    </row>
    <row r="177" spans="1:14" x14ac:dyDescent="0.2">
      <c r="A177" s="77" t="s">
        <v>66</v>
      </c>
      <c r="B177" s="73"/>
      <c r="C177" s="73"/>
      <c r="D177" s="73"/>
      <c r="E177" s="73"/>
      <c r="F177" s="73"/>
      <c r="G177" s="73"/>
      <c r="H177" s="73"/>
      <c r="I177" s="39">
        <v>709.42</v>
      </c>
      <c r="J177" s="37"/>
      <c r="K177" s="37"/>
      <c r="L177" s="37"/>
      <c r="M177" s="37"/>
      <c r="N177" s="37"/>
    </row>
    <row r="178" spans="1:14" x14ac:dyDescent="0.2">
      <c r="A178" s="78" t="s">
        <v>256</v>
      </c>
      <c r="B178" s="79"/>
      <c r="C178" s="79"/>
      <c r="D178" s="79"/>
      <c r="E178" s="79"/>
      <c r="F178" s="79"/>
      <c r="G178" s="79"/>
      <c r="H178" s="79"/>
      <c r="I178" s="44">
        <v>767.87</v>
      </c>
      <c r="J178" s="42"/>
      <c r="K178" s="42"/>
      <c r="L178" s="42"/>
      <c r="M178" s="42"/>
      <c r="N178" s="42"/>
    </row>
    <row r="179" spans="1:14" ht="33.75" x14ac:dyDescent="0.2">
      <c r="A179" s="72" t="s">
        <v>257</v>
      </c>
      <c r="B179" s="73"/>
      <c r="C179" s="73"/>
      <c r="D179" s="73"/>
      <c r="E179" s="73"/>
      <c r="F179" s="73"/>
      <c r="G179" s="73"/>
      <c r="H179" s="73"/>
      <c r="I179" s="45">
        <v>451026.15</v>
      </c>
      <c r="J179" s="45">
        <v>153792.81</v>
      </c>
      <c r="K179" s="45" t="s">
        <v>258</v>
      </c>
      <c r="L179" s="45">
        <v>276257.90999999997</v>
      </c>
      <c r="M179" s="45"/>
      <c r="N179" s="45" t="s">
        <v>259</v>
      </c>
    </row>
    <row r="180" spans="1:14" x14ac:dyDescent="0.2">
      <c r="A180" s="72" t="s">
        <v>51</v>
      </c>
      <c r="B180" s="73"/>
      <c r="C180" s="73"/>
      <c r="D180" s="73"/>
      <c r="E180" s="73"/>
      <c r="F180" s="73"/>
      <c r="G180" s="73"/>
      <c r="H180" s="73"/>
      <c r="I180" s="45">
        <v>131566.20000000001</v>
      </c>
      <c r="J180" s="45"/>
      <c r="K180" s="45"/>
      <c r="L180" s="45"/>
      <c r="M180" s="45"/>
      <c r="N180" s="45"/>
    </row>
    <row r="181" spans="1:14" x14ac:dyDescent="0.2">
      <c r="A181" s="72" t="s">
        <v>52</v>
      </c>
      <c r="B181" s="73"/>
      <c r="C181" s="73"/>
      <c r="D181" s="73"/>
      <c r="E181" s="73"/>
      <c r="F181" s="73"/>
      <c r="G181" s="73"/>
      <c r="H181" s="73"/>
      <c r="I181" s="45"/>
      <c r="J181" s="45"/>
      <c r="K181" s="45"/>
      <c r="L181" s="45"/>
      <c r="M181" s="45"/>
      <c r="N181" s="45"/>
    </row>
    <row r="182" spans="1:14" x14ac:dyDescent="0.2">
      <c r="A182" s="72" t="s">
        <v>53</v>
      </c>
      <c r="B182" s="73"/>
      <c r="C182" s="73"/>
      <c r="D182" s="73"/>
      <c r="E182" s="73"/>
      <c r="F182" s="73"/>
      <c r="G182" s="73"/>
      <c r="H182" s="73"/>
      <c r="I182" s="45">
        <v>26850.17</v>
      </c>
      <c r="J182" s="45"/>
      <c r="K182" s="45"/>
      <c r="L182" s="45"/>
      <c r="M182" s="45"/>
      <c r="N182" s="45"/>
    </row>
    <row r="183" spans="1:14" x14ac:dyDescent="0.2">
      <c r="A183" s="72" t="s">
        <v>237</v>
      </c>
      <c r="B183" s="73"/>
      <c r="C183" s="73"/>
      <c r="D183" s="73"/>
      <c r="E183" s="73"/>
      <c r="F183" s="73"/>
      <c r="G183" s="73"/>
      <c r="H183" s="73"/>
      <c r="I183" s="45">
        <v>16115.78</v>
      </c>
      <c r="J183" s="45"/>
      <c r="K183" s="45"/>
      <c r="L183" s="45"/>
      <c r="M183" s="45"/>
      <c r="N183" s="45"/>
    </row>
    <row r="184" spans="1:14" x14ac:dyDescent="0.2">
      <c r="A184" s="72" t="s">
        <v>238</v>
      </c>
      <c r="B184" s="73"/>
      <c r="C184" s="73"/>
      <c r="D184" s="73"/>
      <c r="E184" s="73"/>
      <c r="F184" s="73"/>
      <c r="G184" s="73"/>
      <c r="H184" s="73"/>
      <c r="I184" s="45">
        <v>12512.36</v>
      </c>
      <c r="J184" s="45"/>
      <c r="K184" s="45"/>
      <c r="L184" s="45"/>
      <c r="M184" s="45"/>
      <c r="N184" s="45"/>
    </row>
    <row r="185" spans="1:14" x14ac:dyDescent="0.2">
      <c r="A185" s="72" t="s">
        <v>260</v>
      </c>
      <c r="B185" s="73"/>
      <c r="C185" s="73"/>
      <c r="D185" s="73"/>
      <c r="E185" s="73"/>
      <c r="F185" s="73"/>
      <c r="G185" s="73"/>
      <c r="H185" s="73"/>
      <c r="I185" s="45">
        <v>76087.89</v>
      </c>
      <c r="J185" s="45"/>
      <c r="K185" s="45"/>
      <c r="L185" s="45"/>
      <c r="M185" s="45"/>
      <c r="N185" s="45"/>
    </row>
    <row r="186" spans="1:14" x14ac:dyDescent="0.2">
      <c r="A186" s="72" t="s">
        <v>55</v>
      </c>
      <c r="B186" s="73"/>
      <c r="C186" s="73"/>
      <c r="D186" s="73"/>
      <c r="E186" s="73"/>
      <c r="F186" s="73"/>
      <c r="G186" s="73"/>
      <c r="H186" s="73"/>
      <c r="I186" s="45">
        <v>77722.64</v>
      </c>
      <c r="J186" s="45"/>
      <c r="K186" s="45"/>
      <c r="L186" s="45"/>
      <c r="M186" s="45"/>
      <c r="N186" s="45"/>
    </row>
    <row r="187" spans="1:14" x14ac:dyDescent="0.2">
      <c r="A187" s="72" t="s">
        <v>52</v>
      </c>
      <c r="B187" s="73"/>
      <c r="C187" s="73"/>
      <c r="D187" s="73"/>
      <c r="E187" s="73"/>
      <c r="F187" s="73"/>
      <c r="G187" s="73"/>
      <c r="H187" s="73"/>
      <c r="I187" s="45"/>
      <c r="J187" s="45"/>
      <c r="K187" s="45"/>
      <c r="L187" s="45"/>
      <c r="M187" s="45"/>
      <c r="N187" s="45"/>
    </row>
    <row r="188" spans="1:14" x14ac:dyDescent="0.2">
      <c r="A188" s="72" t="s">
        <v>56</v>
      </c>
      <c r="B188" s="73"/>
      <c r="C188" s="73"/>
      <c r="D188" s="73"/>
      <c r="E188" s="73"/>
      <c r="F188" s="73"/>
      <c r="G188" s="73"/>
      <c r="H188" s="73"/>
      <c r="I188" s="45">
        <v>17047.73</v>
      </c>
      <c r="J188" s="45"/>
      <c r="K188" s="45"/>
      <c r="L188" s="45"/>
      <c r="M188" s="45"/>
      <c r="N188" s="45"/>
    </row>
    <row r="189" spans="1:14" x14ac:dyDescent="0.2">
      <c r="A189" s="72" t="s">
        <v>239</v>
      </c>
      <c r="B189" s="73"/>
      <c r="C189" s="73"/>
      <c r="D189" s="73"/>
      <c r="E189" s="73"/>
      <c r="F189" s="73"/>
      <c r="G189" s="73"/>
      <c r="H189" s="73"/>
      <c r="I189" s="45">
        <v>17196.12</v>
      </c>
      <c r="J189" s="45"/>
      <c r="K189" s="45"/>
      <c r="L189" s="45"/>
      <c r="M189" s="45"/>
      <c r="N189" s="45"/>
    </row>
    <row r="190" spans="1:14" x14ac:dyDescent="0.2">
      <c r="A190" s="72" t="s">
        <v>261</v>
      </c>
      <c r="B190" s="73"/>
      <c r="C190" s="73"/>
      <c r="D190" s="73"/>
      <c r="E190" s="73"/>
      <c r="F190" s="73"/>
      <c r="G190" s="73"/>
      <c r="H190" s="73"/>
      <c r="I190" s="45">
        <v>43478.79</v>
      </c>
      <c r="J190" s="45"/>
      <c r="K190" s="45"/>
      <c r="L190" s="45"/>
      <c r="M190" s="45"/>
      <c r="N190" s="45"/>
    </row>
    <row r="191" spans="1:14" x14ac:dyDescent="0.2">
      <c r="A191" s="74" t="s">
        <v>262</v>
      </c>
      <c r="B191" s="75"/>
      <c r="C191" s="75"/>
      <c r="D191" s="75"/>
      <c r="E191" s="75"/>
      <c r="F191" s="75"/>
      <c r="G191" s="75"/>
      <c r="H191" s="75"/>
      <c r="I191" s="45"/>
      <c r="J191" s="45"/>
      <c r="K191" s="45"/>
      <c r="L191" s="45"/>
      <c r="M191" s="45"/>
      <c r="N191" s="45"/>
    </row>
    <row r="192" spans="1:14" ht="22.5" x14ac:dyDescent="0.2">
      <c r="A192" s="72" t="s">
        <v>59</v>
      </c>
      <c r="B192" s="73"/>
      <c r="C192" s="73"/>
      <c r="D192" s="73"/>
      <c r="E192" s="73"/>
      <c r="F192" s="73"/>
      <c r="G192" s="73"/>
      <c r="H192" s="73"/>
      <c r="I192" s="45">
        <v>88889.04</v>
      </c>
      <c r="J192" s="45"/>
      <c r="K192" s="45"/>
      <c r="L192" s="45"/>
      <c r="M192" s="45"/>
      <c r="N192" s="45" t="s">
        <v>60</v>
      </c>
    </row>
    <row r="193" spans="1:14" ht="22.5" x14ac:dyDescent="0.2">
      <c r="A193" s="72" t="s">
        <v>61</v>
      </c>
      <c r="B193" s="73"/>
      <c r="C193" s="73"/>
      <c r="D193" s="73"/>
      <c r="E193" s="73"/>
      <c r="F193" s="73"/>
      <c r="G193" s="73"/>
      <c r="H193" s="73"/>
      <c r="I193" s="45">
        <v>419633.64</v>
      </c>
      <c r="J193" s="45"/>
      <c r="K193" s="45"/>
      <c r="L193" s="45"/>
      <c r="M193" s="45"/>
      <c r="N193" s="45" t="s">
        <v>263</v>
      </c>
    </row>
    <row r="194" spans="1:14" x14ac:dyDescent="0.2">
      <c r="A194" s="72" t="s">
        <v>135</v>
      </c>
      <c r="B194" s="73"/>
      <c r="C194" s="73"/>
      <c r="D194" s="73"/>
      <c r="E194" s="73"/>
      <c r="F194" s="73"/>
      <c r="G194" s="73"/>
      <c r="H194" s="73"/>
      <c r="I194" s="45">
        <v>47926.45</v>
      </c>
      <c r="J194" s="45"/>
      <c r="K194" s="45"/>
      <c r="L194" s="45"/>
      <c r="M194" s="45"/>
      <c r="N194" s="45"/>
    </row>
    <row r="195" spans="1:14" x14ac:dyDescent="0.2">
      <c r="A195" s="72" t="s">
        <v>241</v>
      </c>
      <c r="B195" s="73"/>
      <c r="C195" s="73"/>
      <c r="D195" s="73"/>
      <c r="E195" s="73"/>
      <c r="F195" s="73"/>
      <c r="G195" s="73"/>
      <c r="H195" s="73"/>
      <c r="I195" s="45">
        <v>57180.08</v>
      </c>
      <c r="J195" s="45"/>
      <c r="K195" s="45"/>
      <c r="L195" s="45"/>
      <c r="M195" s="45"/>
      <c r="N195" s="45">
        <v>142.27000000000001</v>
      </c>
    </row>
    <row r="196" spans="1:14" ht="22.5" x14ac:dyDescent="0.2">
      <c r="A196" s="72" t="s">
        <v>242</v>
      </c>
      <c r="B196" s="73"/>
      <c r="C196" s="73"/>
      <c r="D196" s="73"/>
      <c r="E196" s="73"/>
      <c r="F196" s="73"/>
      <c r="G196" s="73"/>
      <c r="H196" s="73"/>
      <c r="I196" s="45">
        <v>45917.91</v>
      </c>
      <c r="J196" s="45"/>
      <c r="K196" s="45"/>
      <c r="L196" s="45"/>
      <c r="M196" s="45"/>
      <c r="N196" s="45" t="s">
        <v>243</v>
      </c>
    </row>
    <row r="197" spans="1:14" x14ac:dyDescent="0.2">
      <c r="A197" s="72" t="s">
        <v>254</v>
      </c>
      <c r="B197" s="73"/>
      <c r="C197" s="73"/>
      <c r="D197" s="73"/>
      <c r="E197" s="73"/>
      <c r="F197" s="73"/>
      <c r="G197" s="73"/>
      <c r="H197" s="73"/>
      <c r="I197" s="45">
        <v>709.42</v>
      </c>
      <c r="J197" s="45"/>
      <c r="K197" s="45"/>
      <c r="L197" s="45"/>
      <c r="M197" s="45"/>
      <c r="N197" s="45"/>
    </row>
    <row r="198" spans="1:14" x14ac:dyDescent="0.2">
      <c r="A198" s="72" t="s">
        <v>255</v>
      </c>
      <c r="B198" s="73"/>
      <c r="C198" s="73"/>
      <c r="D198" s="73"/>
      <c r="E198" s="73"/>
      <c r="F198" s="73"/>
      <c r="G198" s="73"/>
      <c r="H198" s="73"/>
      <c r="I198" s="45">
        <v>58.45</v>
      </c>
      <c r="J198" s="45"/>
      <c r="K198" s="45"/>
      <c r="L198" s="45"/>
      <c r="M198" s="45"/>
      <c r="N198" s="45"/>
    </row>
    <row r="199" spans="1:14" ht="33.75" x14ac:dyDescent="0.2">
      <c r="A199" s="72" t="s">
        <v>62</v>
      </c>
      <c r="B199" s="73"/>
      <c r="C199" s="73"/>
      <c r="D199" s="73"/>
      <c r="E199" s="73"/>
      <c r="F199" s="73"/>
      <c r="G199" s="73"/>
      <c r="H199" s="73"/>
      <c r="I199" s="45">
        <v>660314.99</v>
      </c>
      <c r="J199" s="45"/>
      <c r="K199" s="45"/>
      <c r="L199" s="45"/>
      <c r="M199" s="45"/>
      <c r="N199" s="45" t="s">
        <v>259</v>
      </c>
    </row>
    <row r="200" spans="1:14" x14ac:dyDescent="0.2">
      <c r="A200" s="72" t="s">
        <v>63</v>
      </c>
      <c r="B200" s="73"/>
      <c r="C200" s="73"/>
      <c r="D200" s="73"/>
      <c r="E200" s="73"/>
      <c r="F200" s="73"/>
      <c r="G200" s="73"/>
      <c r="H200" s="73"/>
      <c r="I200" s="45"/>
      <c r="J200" s="45"/>
      <c r="K200" s="45"/>
      <c r="L200" s="45"/>
      <c r="M200" s="45"/>
      <c r="N200" s="45"/>
    </row>
    <row r="201" spans="1:14" x14ac:dyDescent="0.2">
      <c r="A201" s="72" t="s">
        <v>64</v>
      </c>
      <c r="B201" s="73"/>
      <c r="C201" s="73"/>
      <c r="D201" s="73"/>
      <c r="E201" s="73"/>
      <c r="F201" s="73"/>
      <c r="G201" s="73"/>
      <c r="H201" s="73"/>
      <c r="I201" s="45">
        <v>276257.90999999997</v>
      </c>
      <c r="J201" s="45"/>
      <c r="K201" s="45"/>
      <c r="L201" s="45"/>
      <c r="M201" s="45"/>
      <c r="N201" s="45"/>
    </row>
    <row r="202" spans="1:14" x14ac:dyDescent="0.2">
      <c r="A202" s="72" t="s">
        <v>65</v>
      </c>
      <c r="B202" s="73"/>
      <c r="C202" s="73"/>
      <c r="D202" s="73"/>
      <c r="E202" s="73"/>
      <c r="F202" s="73"/>
      <c r="G202" s="73"/>
      <c r="H202" s="73"/>
      <c r="I202" s="45">
        <v>20975.43</v>
      </c>
      <c r="J202" s="45"/>
      <c r="K202" s="45"/>
      <c r="L202" s="45"/>
      <c r="M202" s="45"/>
      <c r="N202" s="45"/>
    </row>
    <row r="203" spans="1:14" x14ac:dyDescent="0.2">
      <c r="A203" s="72" t="s">
        <v>66</v>
      </c>
      <c r="B203" s="73"/>
      <c r="C203" s="73"/>
      <c r="D203" s="73"/>
      <c r="E203" s="73"/>
      <c r="F203" s="73"/>
      <c r="G203" s="73"/>
      <c r="H203" s="73"/>
      <c r="I203" s="45">
        <v>156794.69</v>
      </c>
      <c r="J203" s="45"/>
      <c r="K203" s="45"/>
      <c r="L203" s="45"/>
      <c r="M203" s="45"/>
      <c r="N203" s="45"/>
    </row>
    <row r="204" spans="1:14" x14ac:dyDescent="0.2">
      <c r="A204" s="72" t="s">
        <v>67</v>
      </c>
      <c r="B204" s="73"/>
      <c r="C204" s="73"/>
      <c r="D204" s="73"/>
      <c r="E204" s="73"/>
      <c r="F204" s="73"/>
      <c r="G204" s="73"/>
      <c r="H204" s="73"/>
      <c r="I204" s="45">
        <v>131566.20000000001</v>
      </c>
      <c r="J204" s="45"/>
      <c r="K204" s="45"/>
      <c r="L204" s="45"/>
      <c r="M204" s="45"/>
      <c r="N204" s="45"/>
    </row>
    <row r="205" spans="1:14" x14ac:dyDescent="0.2">
      <c r="A205" s="72" t="s">
        <v>68</v>
      </c>
      <c r="B205" s="73"/>
      <c r="C205" s="73"/>
      <c r="D205" s="73"/>
      <c r="E205" s="73"/>
      <c r="F205" s="73"/>
      <c r="G205" s="73"/>
      <c r="H205" s="73"/>
      <c r="I205" s="45">
        <v>77722.64</v>
      </c>
      <c r="J205" s="45"/>
      <c r="K205" s="45"/>
      <c r="L205" s="45"/>
      <c r="M205" s="45"/>
      <c r="N205" s="45"/>
    </row>
    <row r="206" spans="1:14" s="46" customFormat="1" x14ac:dyDescent="0.2">
      <c r="A206" s="76" t="s">
        <v>266</v>
      </c>
      <c r="B206" s="75"/>
      <c r="C206" s="75"/>
      <c r="D206" s="75"/>
      <c r="E206" s="75"/>
      <c r="F206" s="75"/>
      <c r="G206" s="75"/>
      <c r="H206" s="75"/>
      <c r="I206" s="47">
        <v>-4676.26</v>
      </c>
      <c r="J206" s="47"/>
      <c r="K206" s="47"/>
      <c r="L206" s="47"/>
      <c r="M206" s="47"/>
      <c r="N206" s="47"/>
    </row>
    <row r="207" spans="1:14" s="46" customFormat="1" x14ac:dyDescent="0.2">
      <c r="A207" s="104" t="s">
        <v>271</v>
      </c>
      <c r="B207" s="105"/>
      <c r="C207" s="105"/>
      <c r="D207" s="105"/>
      <c r="E207" s="105"/>
      <c r="F207" s="105"/>
      <c r="G207" s="105"/>
      <c r="H207" s="106"/>
      <c r="I207" s="47">
        <v>655638.73</v>
      </c>
      <c r="J207" s="47"/>
      <c r="K207" s="47"/>
      <c r="L207" s="47"/>
      <c r="M207" s="47"/>
      <c r="N207" s="47"/>
    </row>
    <row r="208" spans="1:14" x14ac:dyDescent="0.2">
      <c r="A208" s="72" t="s">
        <v>264</v>
      </c>
      <c r="B208" s="73"/>
      <c r="C208" s="73"/>
      <c r="D208" s="73"/>
      <c r="E208" s="73"/>
      <c r="F208" s="73"/>
      <c r="G208" s="73"/>
      <c r="H208" s="73"/>
      <c r="I208" s="45">
        <v>118014.97</v>
      </c>
      <c r="J208" s="45"/>
      <c r="K208" s="45"/>
      <c r="L208" s="45"/>
      <c r="M208" s="45"/>
      <c r="N208" s="45"/>
    </row>
    <row r="209" spans="1:14" ht="33.75" x14ac:dyDescent="0.2">
      <c r="A209" s="74" t="s">
        <v>265</v>
      </c>
      <c r="B209" s="75"/>
      <c r="C209" s="75"/>
      <c r="D209" s="75"/>
      <c r="E209" s="75"/>
      <c r="F209" s="75"/>
      <c r="G209" s="75"/>
      <c r="H209" s="75"/>
      <c r="I209" s="45">
        <v>773653.7</v>
      </c>
      <c r="J209" s="45"/>
      <c r="K209" s="45"/>
      <c r="L209" s="45"/>
      <c r="M209" s="45"/>
      <c r="N209" s="45" t="s">
        <v>259</v>
      </c>
    </row>
    <row r="210" spans="1:14" x14ac:dyDescent="0.2">
      <c r="A210" s="76" t="s">
        <v>266</v>
      </c>
      <c r="B210" s="75"/>
      <c r="C210" s="75"/>
      <c r="D210" s="75"/>
      <c r="E210" s="75"/>
      <c r="F210" s="75"/>
      <c r="G210" s="75"/>
      <c r="H210" s="75"/>
      <c r="I210" s="47">
        <v>5517.99</v>
      </c>
      <c r="J210" s="47"/>
      <c r="K210" s="47"/>
      <c r="L210" s="47"/>
      <c r="M210" s="47"/>
      <c r="N210" s="47"/>
    </row>
    <row r="211" spans="1:14" x14ac:dyDescent="0.2">
      <c r="A211" s="10"/>
      <c r="B211" s="13"/>
      <c r="C211" s="13"/>
      <c r="D211" s="10"/>
      <c r="E211" s="11"/>
      <c r="F211" s="11"/>
      <c r="G211" s="11"/>
      <c r="H211" s="11"/>
      <c r="I211" s="12"/>
      <c r="J211" s="11"/>
      <c r="K211" s="11"/>
      <c r="L211" s="11"/>
      <c r="M211" s="11"/>
      <c r="N211" s="28"/>
    </row>
    <row r="212" spans="1:14" x14ac:dyDescent="0.2">
      <c r="A212" s="10"/>
      <c r="B212" s="13"/>
      <c r="C212" s="13"/>
      <c r="D212" s="10"/>
      <c r="E212" s="11"/>
      <c r="F212" s="11"/>
      <c r="G212" s="11"/>
      <c r="H212" s="11"/>
      <c r="I212" s="12"/>
      <c r="J212" s="11"/>
      <c r="K212" s="11"/>
      <c r="L212" s="11"/>
      <c r="M212" s="11"/>
      <c r="N212" s="28"/>
    </row>
    <row r="213" spans="1:14" x14ac:dyDescent="0.2">
      <c r="A213" s="10"/>
      <c r="B213" s="13"/>
      <c r="C213" s="29" t="s">
        <v>24</v>
      </c>
      <c r="D213" s="10"/>
      <c r="E213" s="11"/>
      <c r="F213" s="29" t="s">
        <v>25</v>
      </c>
      <c r="G213" s="29"/>
      <c r="H213" s="29"/>
      <c r="I213" s="11"/>
      <c r="J213" s="11"/>
      <c r="K213" s="11"/>
      <c r="L213" s="11"/>
      <c r="M213" s="11"/>
      <c r="N213" s="28"/>
    </row>
    <row r="214" spans="1:14" x14ac:dyDescent="0.2">
      <c r="A214" s="30"/>
      <c r="B214" s="30"/>
      <c r="C214" s="30"/>
      <c r="D214" s="30"/>
      <c r="E214" s="31"/>
      <c r="F214" s="31"/>
      <c r="G214" s="31"/>
      <c r="H214" s="31"/>
      <c r="I214" s="31"/>
      <c r="J214" s="31"/>
      <c r="K214" s="31"/>
      <c r="L214" s="31"/>
      <c r="M214" s="31"/>
      <c r="N214" s="28"/>
    </row>
    <row r="215" spans="1:14" x14ac:dyDescent="0.2">
      <c r="A215" s="8"/>
      <c r="B215" s="8"/>
      <c r="C215" s="8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7"/>
    </row>
    <row r="217" spans="1:14" x14ac:dyDescent="0.2">
      <c r="B217" s="8"/>
    </row>
  </sheetData>
  <mergeCells count="162"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  <mergeCell ref="A29:H29"/>
    <mergeCell ref="A30:H30"/>
    <mergeCell ref="A31:H31"/>
    <mergeCell ref="A32:H32"/>
    <mergeCell ref="A33:H33"/>
    <mergeCell ref="A34:H34"/>
    <mergeCell ref="A20:N20"/>
    <mergeCell ref="A24:H24"/>
    <mergeCell ref="A25:H25"/>
    <mergeCell ref="A26:H26"/>
    <mergeCell ref="A27:H27"/>
    <mergeCell ref="A28:H28"/>
    <mergeCell ref="A41:H41"/>
    <mergeCell ref="A42:H42"/>
    <mergeCell ref="A43:H43"/>
    <mergeCell ref="A44:N44"/>
    <mergeCell ref="A45:N45"/>
    <mergeCell ref="A51:N51"/>
    <mergeCell ref="A35:H35"/>
    <mergeCell ref="A36:H36"/>
    <mergeCell ref="A37:H37"/>
    <mergeCell ref="A38:H38"/>
    <mergeCell ref="A39:H39"/>
    <mergeCell ref="A40:H40"/>
    <mergeCell ref="A67:H67"/>
    <mergeCell ref="A68:H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N79"/>
    <mergeCell ref="A80:N80"/>
    <mergeCell ref="A84:N84"/>
    <mergeCell ref="A93:H93"/>
    <mergeCell ref="A94:H94"/>
    <mergeCell ref="A95:H95"/>
    <mergeCell ref="A73:H73"/>
    <mergeCell ref="A74:H74"/>
    <mergeCell ref="A75:H75"/>
    <mergeCell ref="A76:H76"/>
    <mergeCell ref="A77:H77"/>
    <mergeCell ref="A78:H78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22:H122"/>
    <mergeCell ref="A123:H123"/>
    <mergeCell ref="A124:H124"/>
    <mergeCell ref="A125:H125"/>
    <mergeCell ref="A126:H126"/>
    <mergeCell ref="A127:H127"/>
    <mergeCell ref="A108:H108"/>
    <mergeCell ref="A109:H109"/>
    <mergeCell ref="A110:H110"/>
    <mergeCell ref="A111:N111"/>
    <mergeCell ref="A120:H120"/>
    <mergeCell ref="A121:H121"/>
    <mergeCell ref="A134:H134"/>
    <mergeCell ref="A135:H135"/>
    <mergeCell ref="A136:H136"/>
    <mergeCell ref="A137:H137"/>
    <mergeCell ref="A138:N138"/>
    <mergeCell ref="A147:H147"/>
    <mergeCell ref="A128:H128"/>
    <mergeCell ref="A129:H129"/>
    <mergeCell ref="A130:H130"/>
    <mergeCell ref="A131:H131"/>
    <mergeCell ref="A132:H132"/>
    <mergeCell ref="A133:H133"/>
    <mergeCell ref="A154:H154"/>
    <mergeCell ref="A155:H155"/>
    <mergeCell ref="A156:H156"/>
    <mergeCell ref="A157:H157"/>
    <mergeCell ref="A158:H158"/>
    <mergeCell ref="A159:H159"/>
    <mergeCell ref="A148:H148"/>
    <mergeCell ref="A149:H149"/>
    <mergeCell ref="A150:H150"/>
    <mergeCell ref="A151:H151"/>
    <mergeCell ref="A152:H152"/>
    <mergeCell ref="A153:H153"/>
    <mergeCell ref="A166:H166"/>
    <mergeCell ref="A167:N167"/>
    <mergeCell ref="A170:H170"/>
    <mergeCell ref="A171:H171"/>
    <mergeCell ref="A172:H172"/>
    <mergeCell ref="A173:H173"/>
    <mergeCell ref="A160:H160"/>
    <mergeCell ref="A161:H161"/>
    <mergeCell ref="A162:H162"/>
    <mergeCell ref="A163:H163"/>
    <mergeCell ref="A164:H164"/>
    <mergeCell ref="A165:H165"/>
    <mergeCell ref="A180:H180"/>
    <mergeCell ref="A181:H181"/>
    <mergeCell ref="A182:H182"/>
    <mergeCell ref="A183:H183"/>
    <mergeCell ref="A184:H184"/>
    <mergeCell ref="A185:H185"/>
    <mergeCell ref="A174:H174"/>
    <mergeCell ref="A175:H175"/>
    <mergeCell ref="A176:H176"/>
    <mergeCell ref="A177:H177"/>
    <mergeCell ref="A178:H178"/>
    <mergeCell ref="A179:H179"/>
    <mergeCell ref="A192:H192"/>
    <mergeCell ref="A193:H193"/>
    <mergeCell ref="A194:H194"/>
    <mergeCell ref="A195:H195"/>
    <mergeCell ref="A196:H196"/>
    <mergeCell ref="A197:H197"/>
    <mergeCell ref="A186:H186"/>
    <mergeCell ref="A187:H187"/>
    <mergeCell ref="A188:H188"/>
    <mergeCell ref="A189:H189"/>
    <mergeCell ref="A190:H190"/>
    <mergeCell ref="A191:H191"/>
    <mergeCell ref="A204:H204"/>
    <mergeCell ref="A205:H205"/>
    <mergeCell ref="A208:H208"/>
    <mergeCell ref="A209:H209"/>
    <mergeCell ref="A210:H210"/>
    <mergeCell ref="A198:H198"/>
    <mergeCell ref="A199:H199"/>
    <mergeCell ref="A200:H200"/>
    <mergeCell ref="A201:H201"/>
    <mergeCell ref="A202:H202"/>
    <mergeCell ref="A203:H203"/>
    <mergeCell ref="A206:H206"/>
    <mergeCell ref="A207:H207"/>
  </mergeCells>
  <phoneticPr fontId="0" type="noConversion"/>
  <pageMargins left="0" right="0" top="0" bottom="0" header="0.27559055118110237" footer="0.19685039370078741"/>
  <pageSetup paperSize="9" scale="9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Лок.См.Расч.Баз.-Инд.Методом</vt:lpstr>
      <vt:lpstr>'Лок.См.Расч.Баз.-Инд.Методом'!Заголовки_для_печати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Власкина Юлия Викторовна</cp:lastModifiedBy>
  <cp:lastPrinted>2011-04-05T04:59:46Z</cp:lastPrinted>
  <dcterms:created xsi:type="dcterms:W3CDTF">2003-01-28T12:33:10Z</dcterms:created>
  <dcterms:modified xsi:type="dcterms:W3CDTF">2014-11-27T10:54:43Z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