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'Лок.См.Расч.Баз.-Инд.Методом'!$A$1:$N$318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 fullPrecision="0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  <author>Alex</author>
    <author>YuKazaeva</author>
    <author>1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>
      <text>
        <r>
          <rPr>
            <sz val="14"/>
            <rFont val="Tahoma"/>
            <family val="2"/>
          </rPr>
          <t xml:space="preserve"> =INDIRECT("</t>
        </r>
        <r>
          <rPr>
            <b/>
            <sz val="14"/>
            <rFont val="Tahoma"/>
            <family val="2"/>
          </rPr>
          <t>AF</t>
        </r>
        <r>
          <rPr>
            <sz val="14"/>
            <rFont val="Tahoma"/>
            <family val="2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7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7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7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7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7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7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AA19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AB19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AC19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AD19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AE19" authorId="5">
      <text>
        <r>
          <rPr>
            <b/>
            <sz val="8"/>
            <rFont val="Tahoma"/>
            <family val="2"/>
          </rPr>
          <t xml:space="preserve"> &lt;Обоснование коэффициентов&gt;</t>
        </r>
        <r>
          <rPr>
            <sz val="8"/>
            <rFont val="Tahoma"/>
            <family val="2"/>
          </rPr>
          <t xml:space="preserve">
</t>
        </r>
      </text>
    </comment>
    <comment ref="AF19" authorId="5">
      <text>
        <r>
          <rPr>
            <b/>
            <sz val="8"/>
            <rFont val="Tahoma"/>
            <family val="2"/>
          </rPr>
          <t xml:space="preserve"> &lt;Наименование (текстовая часть) расценки&gt;</t>
        </r>
        <r>
          <rPr>
            <sz val="8"/>
            <rFont val="Tahoma"/>
            <family val="2"/>
          </rPr>
          <t xml:space="preserve">
</t>
        </r>
      </text>
    </comment>
    <comment ref="AG19" authorId="6">
      <text>
        <r>
          <rPr>
            <b/>
            <sz val="8"/>
            <rFont val="Tahoma"/>
            <family val="2"/>
          </rPr>
          <t xml:space="preserve"> &lt;Ед. измерения по расценке&gt;</t>
        </r>
        <r>
          <rPr>
            <sz val="8"/>
            <rFont val="Tahoma"/>
            <family val="2"/>
          </rPr>
          <t xml:space="preserve">
</t>
        </r>
      </text>
    </comment>
    <comment ref="AH19" authorId="6">
      <text>
        <r>
          <rPr>
            <b/>
            <sz val="8"/>
            <rFont val="Tahoma"/>
            <family val="2"/>
          </rPr>
          <t xml:space="preserve"> &lt;Формула расчета стоимости единицы&gt;</t>
        </r>
        <r>
          <rPr>
            <sz val="8"/>
            <rFont val="Tahoma"/>
            <family val="2"/>
          </rPr>
          <t xml:space="preserve">
</t>
        </r>
      </text>
    </comment>
    <comment ref="AI19" authorId="6">
      <text>
        <r>
          <rPr>
            <sz val="8"/>
            <rFont val="Tahoma"/>
            <family val="2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I4" authorId="6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318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318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<sst xmlns="http://schemas.openxmlformats.org/spreadsheetml/2006/main" count="988" uniqueCount="676">
  <si>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</t>
  </si>
  <si>
    <t>Итоги по разделу 6 Доставка материалов :</t>
  </si>
  <si>
    <t xml:space="preserve">  Итого по разделу 6 Доставка материалов</t>
  </si>
  <si>
    <t>Итого прямые затраты по смете в текущих ценах</t>
  </si>
  <si>
    <t>109163
7718</t>
  </si>
  <si>
    <t>1987,55
41</t>
  </si>
  <si>
    <t>Итого прямые затраты по смете с учетом коэффициентов к итогам</t>
  </si>
  <si>
    <t>123961
8995</t>
  </si>
  <si>
    <t>2186,82
47,48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</si>
  <si>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13, 18, 34, 37-38, 52-53, 74, 12, 63, 16, 57, 60, 65, 68-69, 72, 21, 30, 42, 45, 49, 73, 41, 43, 56, 75, 77, 79, 64)</t>
  </si>
  <si>
    <t>14795
1276</t>
  </si>
  <si>
    <t>199,266
6,4725</t>
  </si>
  <si>
    <t xml:space="preserve">  71% =  83%*0,85 ФОТ (от 41951)  (Поз. 2-3, 5, 14-15, 27)</t>
  </si>
  <si>
    <t xml:space="preserve">  77% =  100%*(0,85*0,9) ФОТ (от 65229)  (Поз. 16, 57, 60, 65, 68-69, 72)</t>
  </si>
  <si>
    <t xml:space="preserve">  90% =  118%*(0,85*0,9) ФОТ (от 52004)  (Поз. 4, 13, 18, 34, 37-38, 52-53, 74)</t>
  </si>
  <si>
    <t xml:space="preserve">  92% =  120%*(0,85*0,9) ФОТ (от 81783)  (Поз. 21, 30, 42, 45, 49, 73)</t>
  </si>
  <si>
    <t xml:space="preserve">  93% =  122%*(0,85*0,9) ФОТ (от 7704)  (Поз. 12, 63)</t>
  </si>
  <si>
    <t xml:space="preserve">  98% =  128%*(0,85*0,9) ФОТ (от 6859)  (Поз. 56, 75, 77, 79)</t>
  </si>
  <si>
    <t xml:space="preserve">  43% =  63%*(0,8*0,85) ФОТ (от 52004)  (Поз. 4, 13, 18, 34, 37-38, 52-53, 74)</t>
  </si>
  <si>
    <t xml:space="preserve">  44% =  65%*(0,8*0,85) ФОТ (от 81783)  (Поз. 21, 30, 42, 45, 49, 73)</t>
  </si>
  <si>
    <t xml:space="preserve">  52% =  65%*0,8 ФОТ (от 49508)  (Поз. 2-3, 5, 14-15, 27, 44)</t>
  </si>
  <si>
    <t xml:space="preserve">  48% =  70%*(0,8*0,85) ФОТ (от 88666)  (Поз. 1, 8, 16, 57, 60, 65, 68-69, 72, 41, 43)</t>
  </si>
  <si>
    <t xml:space="preserve">  54% =  80%*(0,8*0,85) ФОТ (от 7704)  (Поз. 12, 63)</t>
  </si>
  <si>
    <t xml:space="preserve">  56% =  83%*(0,8*0,85) ФОТ (от 6859)  (Поз. 56, 75, 77, 79)</t>
  </si>
  <si>
    <t>Итоги по смете:</t>
  </si>
  <si>
    <t>2139,22
47,48</t>
  </si>
  <si>
    <t xml:space="preserve">  ВСЕГО по смете</t>
  </si>
  <si>
    <t>Жилой дом по адресу: Томская область, Асиновский район, г. Асино, ул. 9 мая, 60</t>
  </si>
  <si>
    <t xml:space="preserve">ЛОКАЛЬНЫЙ СМЕТНЫЙ РАСЧЕТ № 02-01-01 </t>
  </si>
  <si>
    <t>Капитальный ремонт крыши, кровли</t>
  </si>
  <si>
    <t>Основание:   14-12/14-АС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</si>
  <si>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</si>
  <si>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</si>
  <si>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</si>
  <si>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</si>
  <si>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</si>
  <si>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</si>
  <si>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</si>
  <si>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</si>
  <si>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</si>
  <si>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</si>
  <si>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</si>
  <si>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</si>
  <si>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</si>
  <si>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</si>
  <si>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</si>
  <si>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</si>
  <si>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</si>
  <si>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</si>
  <si>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</si>
  <si>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</si>
  <si>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</si>
  <si>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</si>
  <si>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</si>
  <si>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 xml:space="preserve">                           Раздел 1. Демонтажные работы</t>
  </si>
  <si>
    <t>ФЕР46-04-008-04</t>
  </si>
  <si>
    <t>7,3008
730,08/100</t>
  </si>
  <si>
    <t>154,66
124,02</t>
  </si>
  <si>
    <t>45.68 Разборка покрытий кровель: ОЗП=15,34; ЭМ=2,98; ЗПМ=15,34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</si>
  <si>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</si>
  <si>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</si>
  <si>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</si>
  <si>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</si>
  <si>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ФЕРр58-3-1</t>
  </si>
  <si>
    <t>0,15715
15,715/100</t>
  </si>
  <si>
    <t>71,18
70,98</t>
  </si>
  <si>
    <t>83.3 Разборка мелких покрытий и обделок из листовой стали: ОЗП=15,34; ЭМ=4,7; ЗПМ=15,34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</si>
  <si>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</si>
  <si>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</si>
  <si>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</si>
  <si>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</si>
  <si>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ФЕРр58-1-1</t>
  </si>
  <si>
    <t>7,181
718,1/100</t>
  </si>
  <si>
    <t>160,11
120,37</t>
  </si>
  <si>
    <t>39,74
6,21</t>
  </si>
  <si>
    <t>83.1 Разборка деревянных элементов конструкций крыш: ОЗП=15,34; ЭМ=11,44; ЗПМ=15,34</t>
  </si>
  <si>
    <t>3264
684</t>
  </si>
  <si>
    <t>15,16
0,46</t>
  </si>
  <si>
    <t>108,86
3,3</t>
  </si>
  <si>
    <t>Разборка деревянных элементов конструкций крыш: обрешетки из брусков с прозорами</t>
  </si>
  <si>
    <t>100 м2 кровли</t>
  </si>
  <si>
    <t>ФЕР10-01-002-01
ОЗП=0,8
ЭМ=0,8
ЗПМ=0,64
МАТ=0
ТЗ=0,8
ТЗМ=0,64</t>
  </si>
  <si>
    <t>190,73
160,15</t>
  </si>
  <si>
    <t>30,58
1,3</t>
  </si>
  <si>
    <t>10.4. Установка стропил: ОЗП=15,34; ЭМ=9,55; ЗПМ=15,34; МАТ=3,28</t>
  </si>
  <si>
    <t>913
62</t>
  </si>
  <si>
    <t>19,27
0,1</t>
  </si>
  <si>
    <t>60,22
0,31</t>
  </si>
  <si>
    <t>НР 90%=118%*(0,85*0,9) от ФОТ</t>
  </si>
  <si>
    <t>СП 43%=63%*(0,8*0,85) от ФОТ</t>
  </si>
  <si>
    <t>КОЭФ. К ПОЗИЦИИ:
Демонтаж (разборка) сборных деревянных конструкций ОЗП=0,8; ЭМ=0,8 к расх.; ЗПМ=0,64; МАТ=0 к расх.; ТЗ=0,8; ТЗМ=0,64</t>
  </si>
  <si>
    <t>Демонтаж мауэрлата, подстропильной системы, стропильной системы, конькового элемента</t>
  </si>
  <si>
    <t>1 м3 древесины в конструкции</t>
  </si>
  <si>
    <t>ФЕРр58-2-1</t>
  </si>
  <si>
    <t>0,03
3/100</t>
  </si>
  <si>
    <t>2720,29
2709,92</t>
  </si>
  <si>
    <t>83.2 Разборка слуховых окон: ОЗП=15,34; ЭМ=4,63; ЗПМ=15,34</t>
  </si>
  <si>
    <t>Разборка слуховых окон: прямоугольных двускатных</t>
  </si>
  <si>
    <t>100 окон</t>
  </si>
  <si>
    <t>ФЕРр56-1-1</t>
  </si>
  <si>
    <t>0,02
2/100</t>
  </si>
  <si>
    <t>1208,52
1051,72</t>
  </si>
  <si>
    <t>156,8
22,7</t>
  </si>
  <si>
    <t>81.1 Демонтаж оконных коробок: в каменных стенах: ОЗП=15,34; ЭМ=7,4; ЗПМ=15,34</t>
  </si>
  <si>
    <t>23
7</t>
  </si>
  <si>
    <t>128,73
2,15</t>
  </si>
  <si>
    <t>2,57
0,04</t>
  </si>
  <si>
    <t>НР 70%=82%*0,85 от ФОТ</t>
  </si>
  <si>
    <t>СП 50%=62%*0,8 от ФОТ</t>
  </si>
  <si>
    <t>Демонтаж люка выход на кровлю</t>
  </si>
  <si>
    <t>100 коробок</t>
  </si>
  <si>
    <t>ФЕРр65-2-2</t>
  </si>
  <si>
    <t>0,0752
7,52/100</t>
  </si>
  <si>
    <t>731,64
721,64</t>
  </si>
  <si>
    <t>10
3,71</t>
  </si>
  <si>
    <t>89.2 Разборка трубопроводов из чугунных канализационных труб: ОЗП=15,34; ЭМ=8; ЗПМ=15,34</t>
  </si>
  <si>
    <t>6
4</t>
  </si>
  <si>
    <t>85,3
0,32</t>
  </si>
  <si>
    <t>6,41
0,02</t>
  </si>
  <si>
    <t>НР 63%=74%*0,85 от ФОТ</t>
  </si>
  <si>
    <t>СП 40%=50%*0,8 от ФОТ</t>
  </si>
  <si>
    <t>Разборка трубопроводов из чугунных канализационных труб диаметром: 100 мм</t>
  </si>
  <si>
    <t>100 м трубопровода с фасонными частями</t>
  </si>
  <si>
    <t>ФЕР46-04-001-04</t>
  </si>
  <si>
    <t>191,54
73,01</t>
  </si>
  <si>
    <t>118,53
11,57</t>
  </si>
  <si>
    <t>45.57 Разборка: кирпичных и мелкоблочных стен: ОЗП=15,34; ЭМ=7,34; ЗПМ=15,34</t>
  </si>
  <si>
    <t>6208
1266</t>
  </si>
  <si>
    <t>8,24
1,15</t>
  </si>
  <si>
    <t>58,8
8,21</t>
  </si>
  <si>
    <t>Разборка: кирпичных стен</t>
  </si>
  <si>
    <t>1 м3</t>
  </si>
  <si>
    <t xml:space="preserve">                                   Вывоз мусора</t>
  </si>
  <si>
    <t>ФССЦпг01-01-01-041
ПЗ=1,25
ОЗП=1,25
ЭМ=1,25
ЗПМ=1,25
МАТ=1,25</t>
  </si>
  <si>
    <t>53,73
53,73</t>
  </si>
  <si>
    <t>Мусор строительный, вручную: погрузка: ОЗП=9,62</t>
  </si>
  <si>
    <t>НР 0% от ФОТ</t>
  </si>
  <si>
    <t>СП 0% от ФОТ</t>
  </si>
  <si>
    <t>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</si>
  <si>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</si>
  <si>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</si>
  <si>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
ПЗ=1,25
ОЗП=1,25
ЭМ=1,25
ЗПМ=1,25
МАТ=1,25</t>
  </si>
  <si>
    <t>Мусор строительный, экскаваторами емк,ковша 0,5 м3: погрузка; ЭМ=10,87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</si>
  <si>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</si>
  <si>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ФССЦпг03-21-01-010
ПЗ=1,25
ОЗП=1,25
ЭМ=1,25
ЗПМ=1,25
МАТ=1,25</t>
  </si>
  <si>
    <t>Перевозка грузов автомобилями-самосвалами грузоподъемностью 10 т, работающих вне карьера, на расстояние: до 10 км.: I класс груза; ЭМ=8,12</t>
  </si>
  <si>
    <t>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</t>
  </si>
  <si>
    <t>Перевозка грузов автомобилями-самосвалами грузоподъемностью 10 т, работающих вне карьера, на расстояние: до 10 км I класс груза</t>
  </si>
  <si>
    <t>Итого прямые затраты по разделу в текущих ценах</t>
  </si>
  <si>
    <t>19285
2023</t>
  </si>
  <si>
    <t>364,61
11,88</t>
  </si>
  <si>
    <t>Накладные расходы</t>
  </si>
  <si>
    <t xml:space="preserve">  В том числе, справочно:</t>
  </si>
  <si>
    <t xml:space="preserve">  63% =  74%*0,85 ФОТ (от 836)  (Поз. 7)</t>
  </si>
  <si>
    <t xml:space="preserve">  70% =  82%*0,85 ФОТ (от 330)  (Поз. 6)</t>
  </si>
  <si>
    <t xml:space="preserve">  71% =  83%*0,85 ФОТ (от 15363)  (Поз. 2-3, 5)</t>
  </si>
  <si>
    <t xml:space="preserve">  84% =  110%*(0,85*0,9) ФОТ (от 23148)  (Поз. 1, 8)</t>
  </si>
  <si>
    <t xml:space="preserve">  90% =  118%*(0,85*0,9) ФОТ (от 7739)  (Поз. 4)</t>
  </si>
  <si>
    <t>Сметная прибыль</t>
  </si>
  <si>
    <t xml:space="preserve">  40% =  50%*0,8 ФОТ (от 836)  (Поз. 7)</t>
  </si>
  <si>
    <t xml:space="preserve">  50% =  62%*0,8 ФОТ (от 330)  (Поз. 6)</t>
  </si>
  <si>
    <t xml:space="preserve">  43% =  63%*(0,8*0,85) ФОТ (от 7739)  (Поз. 4)</t>
  </si>
  <si>
    <t xml:space="preserve">  52% =  65%*0,8 ФОТ (от 15363)  (Поз. 2-3, 5)</t>
  </si>
  <si>
    <t xml:space="preserve">  48% =  70%*(0,8*0,85) ФОТ (от 23148)  (Поз. 1, 8)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</si>
  <si>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</si>
  <si>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</si>
  <si>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174,88
8,21</t>
  </si>
  <si>
    <t xml:space="preserve">  Крыши, кровли (ремонтно-строительные)</t>
  </si>
  <si>
    <t>120,53
3,3</t>
  </si>
  <si>
    <t xml:space="preserve">  Деревянные конструкции</t>
  </si>
  <si>
    <t xml:space="preserve">  Проемы (ремонтно-строительные)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</si>
  <si>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</si>
  <si>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</si>
  <si>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</si>
  <si>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</si>
  <si>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</si>
  <si>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</si>
  <si>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</si>
  <si>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</si>
  <si>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</si>
  <si>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</si>
  <si>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Стропильная и подстропильная часть</t>
  </si>
  <si>
    <t>ФЕР08-02-003-01
ОЗП=1,15
ЭМ=1,25
ЗПМ=1,25
ТЗ=1,15
ТЗМ=1,25</t>
  </si>
  <si>
    <t>1018,02
82,72</t>
  </si>
  <si>
    <t>40,65
5,67</t>
  </si>
  <si>
    <t>8.17. Кладка из кирпича конструкций: ОЗП=15,34; ЭМ=11,27; ЗПМ=15,34; МАТ=4,44</t>
  </si>
  <si>
    <t>70
14</t>
  </si>
  <si>
    <t>8,8
0,42</t>
  </si>
  <si>
    <t>1,08
0,05</t>
  </si>
  <si>
    <t>НР 93%=122%*(0,85*0,9) от ФОТ</t>
  </si>
  <si>
    <t>СП 54%=80%*(0,8*0,85) от ФОТ</t>
  </si>
  <si>
    <t>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</si>
  <si>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Кладка из кирпича: столбов прямоугольных армированных при высоте этажа до 4 м</t>
  </si>
  <si>
    <t>1 м3 кладки</t>
  </si>
  <si>
    <t>ФЕР10-01-002-01
ОЗП=1,15
ЭМ=1,25
ЗПМ=1,25
ТЗ=1,15
ТЗМ=1,25</t>
  </si>
  <si>
    <t>2300,67
200,19</t>
  </si>
  <si>
    <t>38,22
2,03</t>
  </si>
  <si>
    <t>2060
176</t>
  </si>
  <si>
    <t>24,09
0,15</t>
  </si>
  <si>
    <t>108,77
0,68</t>
  </si>
  <si>
    <t>Установка стропил</t>
  </si>
  <si>
    <t>ФЕРр58-12-1</t>
  </si>
  <si>
    <t>2,6544
265,44/100</t>
  </si>
  <si>
    <t>2492,19
252,73</t>
  </si>
  <si>
    <t>40,78
5,1</t>
  </si>
  <si>
    <t>83.30 Устройство обрешетки сплошной из досок: ОЗП=15,34; ЭМ=9,07; ЗПМ=15,34; МАТ=5,24</t>
  </si>
  <si>
    <t>982
208</t>
  </si>
  <si>
    <t>31,83
0,44</t>
  </si>
  <si>
    <t>84,49
1,17</t>
  </si>
  <si>
    <t>Устройство обрешетки сплошной из досок</t>
  </si>
  <si>
    <t>100 м2</t>
  </si>
  <si>
    <t>ФЕРр58-12-2</t>
  </si>
  <si>
    <t>4,5266
452,66/100</t>
  </si>
  <si>
    <t>1766,82
169,52</t>
  </si>
  <si>
    <t>26,57
3,71</t>
  </si>
  <si>
    <t>83.31 Устройство обрешетки с прозорами из досок и брусков под кровлю: из листовой стали: ОЗП=15,34; ЭМ=9,01; ЗПМ=15,34; МАТ=5</t>
  </si>
  <si>
    <t>1084
258</t>
  </si>
  <si>
    <t>21,35
0,32</t>
  </si>
  <si>
    <t>96,64
1,45</t>
  </si>
  <si>
    <t>Устройство обрешетки с прозорами из досок и брусков под кровлю: из листовой стали</t>
  </si>
  <si>
    <t>ФЕР26-02-018-01
ОЗП=1,15
ЭМ=1,25
ЗПМ=1,25
ТЗ=1,15
ТЗМ=1,25</t>
  </si>
  <si>
    <t>22,7888
2278,88/100</t>
  </si>
  <si>
    <t>239,35
122,77</t>
  </si>
  <si>
    <t>114,74
1,62</t>
  </si>
  <si>
    <t>25.103 Огнебиозащитное покрытие деревянных конструкций составами 'Пирилакс' (любой модификации): ОЗП=15,34; ЭМ=10,27; ЗПМ=15,34; МАТ=19,05</t>
  </si>
  <si>
    <t>33568
708</t>
  </si>
  <si>
    <t>12,91
0,14</t>
  </si>
  <si>
    <t>294,2
3,19</t>
  </si>
  <si>
    <t>НР 77%=100%*(0,85*0,9) от ФОТ</t>
  </si>
  <si>
    <t>Огнебиозащитное покрытие деревянных конструкций составом "Пирилакс" любой модификации при помощи аэрозольно-капельного распыления для обеспечивания: первой группы огнезащитной эффективности по НПБ 251</t>
  </si>
  <si>
    <t>100 м2 обрабатываемой поверхности</t>
  </si>
  <si>
    <t>ФССЦ-113-8070</t>
  </si>
  <si>
    <t>Антисептик-антипирен 'ПИРИЛАКС СС-2' для древесины; МАТ=9,141</t>
  </si>
  <si>
    <t>Антисептик-антипирен «ПИРИЛАКС СС-2» для древесины</t>
  </si>
  <si>
    <t>кг</t>
  </si>
  <si>
    <t xml:space="preserve">                                   Устройство карниза</t>
  </si>
  <si>
    <t>ФЕР10-01-008-05
ОЗП=1,15
ЭМ=1,25
ЗПМ=1,25
ТЗ=1,15
ТЗМ=1,25</t>
  </si>
  <si>
    <t>0,9177
91,77/100</t>
  </si>
  <si>
    <t>5313,52
1219,79</t>
  </si>
  <si>
    <t>10.12. Устройство карнизов: ОЗП=15,34; ЭМ=9,58; ЗПМ=15,34; МАТ=5,69</t>
  </si>
  <si>
    <t>Устройство: карнизов</t>
  </si>
  <si>
    <t>100 м2 стен, фронтонов (за вычетом проемов) и развернутых поверхностей карнизов</t>
  </si>
  <si>
    <t>ФЕР09-05-001-01</t>
  </si>
  <si>
    <t>340,32
288,75</t>
  </si>
  <si>
    <t>38,21
1,62</t>
  </si>
  <si>
    <t>9.64. Облицовка ворот стальным профилированным листом: ОЗП=15,34; ЭМ=8,24; ЗПМ=15,34; МАТ=2,84</t>
  </si>
  <si>
    <t>289
23</t>
  </si>
  <si>
    <t>32,59
0,12</t>
  </si>
  <si>
    <t>29,91
0,11</t>
  </si>
  <si>
    <t>НР 69%=90%*(0,85*0,9) от ФОТ</t>
  </si>
  <si>
    <t>СП 58%=85%*(0,8*0,85) от ФОТ</t>
  </si>
  <si>
    <t>Облицовка карнизов стальным профилированным листом</t>
  </si>
  <si>
    <t>ФССЦ-101-3860</t>
  </si>
  <si>
    <t>0,527953
(91,77*5,23*1,1)/1000</t>
  </si>
  <si>
    <t>Профилированный настил окрашенный: С10-1000-0,6; МАТ=3,061</t>
  </si>
  <si>
    <t>Профилированный настил окрашенный С10-1000-0,6</t>
  </si>
  <si>
    <t>т</t>
  </si>
  <si>
    <t xml:space="preserve">                                   Устройство кровли</t>
  </si>
  <si>
    <t>ФЕР12-01-023-01
ОЗП=1,15
ЭМ=1,25
ЗПМ=1,25
ТЗ=1,15
ТЗМ=1,25</t>
  </si>
  <si>
    <t>9598,39
332,9</t>
  </si>
  <si>
    <t>115,24
10,67</t>
  </si>
  <si>
    <t>12.50. Устройство кровли из металлочерепицы (с отделочным покрытием): ОЗП=15,34; ЭМ=10,11; ЗПМ=15,34; МАТ=2,83</t>
  </si>
  <si>
    <t>10633
1494</t>
  </si>
  <si>
    <t>38,53
0,79</t>
  </si>
  <si>
    <t>281,3
5,77</t>
  </si>
  <si>
    <t>НР 92%=120%*(0,85*0,9) от ФОТ</t>
  </si>
  <si>
    <t>СП 44%=65%*(0,8*0,85) от ФОТ</t>
  </si>
  <si>
    <t>Устройство кровли из металлочерепицы по готовым прогонам: простая кровля</t>
  </si>
  <si>
    <t>ФССЦ-101-4136</t>
  </si>
  <si>
    <t>Металлочерепица «Монтеррей»; МАТ=2,982</t>
  </si>
  <si>
    <t>Металлочерепица «Монтеррей»</t>
  </si>
  <si>
    <t>м2</t>
  </si>
  <si>
    <t>ФССЦ-101-3845</t>
  </si>
  <si>
    <t>6,726227
(730,08*1,11*8,3)/1000</t>
  </si>
  <si>
    <t>Профилированный лист оцинкованный: НС44-1000-0,7; МАТ=3,807</t>
  </si>
  <si>
    <t>Профилированный лист оцинкованный НС44-1000-0,7</t>
  </si>
  <si>
    <t>ТССЦ-101-2410-20002</t>
  </si>
  <si>
    <t>Планка оцинкованная, с полимерным покрытием конька металлочерепичного: плоского, с полкой 190мм; МАТ=2,047</t>
  </si>
  <si>
    <t>Планка оцинкованная, с полимерным покрытием конька металлочерепичного: плоского, с полкой 190мм</t>
  </si>
  <si>
    <t>м</t>
  </si>
  <si>
    <t>ТССЦ-101-2410-20008</t>
  </si>
  <si>
    <t>Планка примыкания нижняя металлочерепичная оцинкованная, с полимерным покрытием; МАТ=1,731</t>
  </si>
  <si>
    <t>Планка примыкания нижняя металлочерепичная оцинкованная, с полимерным покрытием</t>
  </si>
  <si>
    <t>ТССЦ-101-5052</t>
  </si>
  <si>
    <t>109,456
37,706+71,75</t>
  </si>
  <si>
    <t>Сталь листовая оцинкованная толщиной листа: 0,55 мм; МАТ=2,889</t>
  </si>
  <si>
    <t>Лист плоский с полимерным покрытием размером 2х1,25 м, тип покрытия полиэстер 25 мкм, толщиной 0,5 мм</t>
  </si>
  <si>
    <t>ФЕРр58-13-1</t>
  </si>
  <si>
    <t>924,81
36,25</t>
  </si>
  <si>
    <t>83.34 Устройство покрытия из рулонных материалов: насухо без промазки кромок: ОЗП=15,34; ЭМ=9,61; ЗПМ=15,34; МАТ=4,19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</si>
  <si>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</si>
  <si>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</si>
  <si>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МАТ=4,168</t>
  </si>
  <si>
    <t>Рубероид кровельный с крупнозернистой посыпкой марки РКК-350б</t>
  </si>
  <si>
    <t>ТССЦ-104-9221-90002</t>
  </si>
  <si>
    <t>Изоспан: Двухслойная паропроницаемая мембрана марки В; МАТ=1,336</t>
  </si>
  <si>
    <t>Изоспан: Двухслойная паропроницаемая мембрана марки В</t>
  </si>
  <si>
    <t xml:space="preserve">                                   Установка страховочного троса</t>
  </si>
  <si>
    <t>ФЕР12-01-012-01
ОЗП=1,15
ЭМ=1,25
ЗПМ=1,25
ТЗ=1,15
ТЗМ=1,25</t>
  </si>
  <si>
    <t>0,2855
28,55/100</t>
  </si>
  <si>
    <t>3147,39
59,1</t>
  </si>
  <si>
    <t>55,38
3,92</t>
  </si>
  <si>
    <t>12.29. Ограждение кровель перилами: ОЗП=15,34; ЭМ=9,09; ЗПМ=15,34; МАТ=3,67</t>
  </si>
  <si>
    <t>180
21</t>
  </si>
  <si>
    <t>6,67
0,29</t>
  </si>
  <si>
    <t>1,9
0,08</t>
  </si>
  <si>
    <t>Устройство троса по коньку кровли</t>
  </si>
  <si>
    <t>100 м ограждения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</si>
  <si>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</si>
  <si>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МАТ=3,67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</si>
  <si>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</si>
  <si>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ФССЦ-509-8108</t>
  </si>
  <si>
    <t>Трос; МАТ=1,426</t>
  </si>
  <si>
    <t>Трос</t>
  </si>
  <si>
    <t>ФССЦ-509-0125</t>
  </si>
  <si>
    <t>0,1
10/100</t>
  </si>
  <si>
    <t>Анкер тросовой; МАТ=3,04</t>
  </si>
  <si>
    <t>Анкер тросовый</t>
  </si>
  <si>
    <t>100 шт.</t>
  </si>
  <si>
    <t xml:space="preserve">                                   Слуховые окна</t>
  </si>
  <si>
    <t>ФЕР10-01-003-01
ОЗП=1,15
ЭМ=1,25
ЗПМ=1,25
ТЗ=1,15
ТЗМ=1,25</t>
  </si>
  <si>
    <t>378,81
56,55</t>
  </si>
  <si>
    <t>22,06
1,49</t>
  </si>
  <si>
    <t>10.5. Устройство слуховых окон: ОЗП=15,34; ЭМ=9,8; ЗПМ=15,34; МАТ=5,27</t>
  </si>
  <si>
    <t>811
86</t>
  </si>
  <si>
    <t>6,63
0,11</t>
  </si>
  <si>
    <t>19,89
0,33</t>
  </si>
  <si>
    <t>Устройство слуховых окон</t>
  </si>
  <si>
    <t>1 слуховое окно</t>
  </si>
  <si>
    <t>ФССЦ-101-2001</t>
  </si>
  <si>
    <t>Шпингалеты дверные размером 230x26 мм, оцинкованные или окрашенные; МАТ=1,937</t>
  </si>
  <si>
    <t>Шпингалеты дверные размером 230х26 мм, оцинкованные или окрашенные</t>
  </si>
  <si>
    <t>компл.</t>
  </si>
  <si>
    <t>ФССЦ-101-2007</t>
  </si>
  <si>
    <t>Петли форточные накладные размером 70x55 мм; МАТ=2,325</t>
  </si>
  <si>
    <t>Петли форточные накладные размером 70х55 мм</t>
  </si>
  <si>
    <t>ФЕР10-01-023-01
ОЗП=1,15
ЭМ=1,25
ЗПМ=1,25
ТЗ=1,15
ТЗМ=1,25</t>
  </si>
  <si>
    <t>0,045
4,5/100</t>
  </si>
  <si>
    <t>302,01
31,84</t>
  </si>
  <si>
    <t>12,45
1,08</t>
  </si>
  <si>
    <t>10.54. Укладка ходовых досок: ОЗП=15,34; ЭМ=9,87; ЗПМ=15,34; МАТ=5,09</t>
  </si>
  <si>
    <t>8
1</t>
  </si>
  <si>
    <t>3,8
0,08</t>
  </si>
  <si>
    <t>Укладка ходовых досок (лестницы к слуховым окнам)</t>
  </si>
  <si>
    <t>100 м ходов</t>
  </si>
  <si>
    <t>ФЕР10-01-044-12
ОЗП=1,15
ЭМ=1,25
ЗПМ=1,25
ТЗ=1,15
ТЗМ=1,25</t>
  </si>
  <si>
    <t>0,2395
23,95/100</t>
  </si>
  <si>
    <t>8743,48
651,88</t>
  </si>
  <si>
    <t>17,43
0,95</t>
  </si>
  <si>
    <t>10.116 Обивка дверей оцинкованной кровельной сталью: по дереву: ОЗП=15,34; ЭМ=9,77; ЗПМ=15,34; МАТ=2,72</t>
  </si>
  <si>
    <t>51
4</t>
  </si>
  <si>
    <t>79,79
0,07</t>
  </si>
  <si>
    <t>19,11
0,02</t>
  </si>
  <si>
    <t>Обивка дверей оцинкованной кровельной сталью: по дереву с одной стороны</t>
  </si>
  <si>
    <t>100 м2 проемов</t>
  </si>
  <si>
    <t xml:space="preserve">                                   Кровельная лестница КЛ-1</t>
  </si>
  <si>
    <t>ФЕР09-03-029-01</t>
  </si>
  <si>
    <t>0,08823
88,23/1000</t>
  </si>
  <si>
    <t>1084,67
304,28</t>
  </si>
  <si>
    <t>691,89
76,25</t>
  </si>
  <si>
    <t>9.32. Монтаж лестниц прямолинейных и криволинейных, пожарных с ограждением: ОЗП=15,34; ЭМ=10,31; ЗПМ=15,34; МАТ=4,43</t>
  </si>
  <si>
    <t>629
103</t>
  </si>
  <si>
    <t>32,37
5,64</t>
  </si>
  <si>
    <t>2,86
0,5</t>
  </si>
  <si>
    <t>Монтаж лестниц прямолинейных и криволинейных, пожарных с ограждением</t>
  </si>
  <si>
    <t>1 т конструкций</t>
  </si>
  <si>
    <t>ФССЦ-201-0650</t>
  </si>
  <si>
    <t>Ограждения лестничных проемов, лестничные марши, пожарные лестницы; МАТ=8,275</t>
  </si>
  <si>
    <t>Ограждения лестничных проемов, лестничные марши, пожарные лестницы</t>
  </si>
  <si>
    <t>ФЕР13-03-004-26
ПЗ=2
ОЗП=2*1,15
ЭМ=2*1,25
ЗПМ=2*1,25
МАТ=2
ТЗ=2*1,15
ТЗМ=2*1,25</t>
  </si>
  <si>
    <t>0,0954
9,54/100</t>
  </si>
  <si>
    <t>644,48
69,48</t>
  </si>
  <si>
    <t>12,44
0,2</t>
  </si>
  <si>
    <t>13.100 Окраска металлических огрунтованных поверхностей: эмалью ПФ-115: ОЗП=15,34; ЭМ=10,15; ЗПМ=15,34; МАТ=4,34</t>
  </si>
  <si>
    <t>7,66
0,02</t>
  </si>
  <si>
    <t>КОЭФ. К ПОЗИЦИИ:
на два раза ПЗ=2 (ОЗП=2; ЭМ=2 к расх.; ЗПМ=2; МАТ=2 к расх.; ТЗ=2; ТЗМ=2)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</si>
  <si>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>Окраска металлических огрунтованных поверхностей: эмалью ПФ-115</t>
  </si>
  <si>
    <t>100 м2 окрашиваемой поверхности</t>
  </si>
  <si>
    <t xml:space="preserve">                                   Ограждение</t>
  </si>
  <si>
    <t>1,1
110/100</t>
  </si>
  <si>
    <t>693
83</t>
  </si>
  <si>
    <t>7,34
0,32</t>
  </si>
  <si>
    <t>Ограждение кровель перилами</t>
  </si>
  <si>
    <t>ФЕР13-03-004-26
ПЗ=2
ОЗП=2*1,1*1,15
ЭМ=2*1,1*1,25
ЗПМ=2*1,1*1,25
МАТ=2*1,1
ТЗ=2*1,1*1,15
ТЗМ=2*1,1*1,25</t>
  </si>
  <si>
    <t>0,1269
12,69/100</t>
  </si>
  <si>
    <t>708,93
76,43</t>
  </si>
  <si>
    <t>13,68
0,22</t>
  </si>
  <si>
    <t>8,43
0,02</t>
  </si>
  <si>
    <t>КОЭФ. К ПОЗИЦИИ:
за 2 раза ПЗ=2 (ОЗП=2; ЭМ=2 к расх.; ЗПМ=2; МАТ=2 к расх.; ТЗ=2; ТЗМ=2);
3.13 Окраска и огрунтовка решетчатых поверхностей ОЗП=1,1; ЭМ=1,1 к расх.; ЗПМ=1,1; МАТ=1,1 к расх.; ТЗ=1,1; ТЗМ=1,1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</t>
  </si>
  <si>
    <t xml:space="preserve">                                   Антенна</t>
  </si>
  <si>
    <t>ФЕРм10-05-001-04</t>
  </si>
  <si>
    <t>251,26
246,33</t>
  </si>
  <si>
    <t>56.84 Настройка крупных систем коллективного приёма телевидения (КСКПТ): ОЗП=15,34; МАТ=5,04</t>
  </si>
  <si>
    <t>НР 78%=92%*0,85 от ФОТ</t>
  </si>
  <si>
    <t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</t>
  </si>
  <si>
    <t>1 антенна</t>
  </si>
  <si>
    <t>42541
2661</t>
  </si>
  <si>
    <t>1161,29
13,67</t>
  </si>
  <si>
    <t>Итого прямые затраты по разделу с учетом коэффициентов к итогам</t>
  </si>
  <si>
    <t>52340
3180</t>
  </si>
  <si>
    <t>1291,31
16,28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</si>
  <si>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12-13, 18, 34, 37-38, 16, 21, 30, 42, 41, 43)</t>
  </si>
  <si>
    <t>9798
517</t>
  </si>
  <si>
    <t>130,0185
2,61</t>
  </si>
  <si>
    <t xml:space="preserve">  71% =  83%*0,85 ФОТ (от 26588)  (Поз. 14-15, 27)</t>
  </si>
  <si>
    <t xml:space="preserve">  69% =  90%*(0,85*0,9) ФОТ (от 4892)  (Поз. 19, 39, 41, 43)</t>
  </si>
  <si>
    <t xml:space="preserve">  78% =  92%*0,85 ФОТ (от 7557)  (Поз. 44)</t>
  </si>
  <si>
    <t xml:space="preserve">  77% =  100%*(0,85*0,9) ФОТ (от 50064)  (Поз. 16)</t>
  </si>
  <si>
    <t xml:space="preserve">  90% =  118%*(0,85*0,9) ФОТ (от 41734)  (Поз. 13, 18, 34, 37-38)</t>
  </si>
  <si>
    <t xml:space="preserve">  92% =  120%*(0,85*0,9) ФОТ (от 45918)  (Поз. 21, 30, 42)</t>
  </si>
  <si>
    <t xml:space="preserve">  93% =  122%*(0,85*0,9) ФОТ (от 193)  (Поз. 12)</t>
  </si>
  <si>
    <t xml:space="preserve">  43% =  63%*(0,8*0,85) ФОТ (от 41734)  (Поз. 13, 18, 34, 37-38)</t>
  </si>
  <si>
    <t xml:space="preserve">  44% =  65%*(0,8*0,85) ФОТ (от 45918)  (Поз. 21, 30, 42)</t>
  </si>
  <si>
    <t xml:space="preserve">  52% =  65%*0,8 ФОТ (от 34145)  (Поз. 14-15, 27, 44)</t>
  </si>
  <si>
    <t xml:space="preserve">  48% =  70%*(0,8*0,85) ФОТ (от 50353)  (Поз. 16, 41, 43)</t>
  </si>
  <si>
    <t xml:space="preserve">  54% =  80%*(0,8*0,85) ФОТ (от 193)  (Поз. 12)</t>
  </si>
  <si>
    <t xml:space="preserve">  58% =  85%*(0,8*0,85) ФОТ (от 4603)  (Поз. 19, 39)</t>
  </si>
  <si>
    <t>Итоги по разделу 2 Стропильная и подстропильная часть :</t>
  </si>
  <si>
    <t xml:space="preserve">  Итого Строительные работы</t>
  </si>
  <si>
    <t>1243,71
16,28</t>
  </si>
  <si>
    <t xml:space="preserve">  Итого Монтажные работы</t>
  </si>
  <si>
    <t xml:space="preserve">      Материалы</t>
  </si>
  <si>
    <t xml:space="preserve">  Итого по разделу 2 Стропильная и подстропильная часть</t>
  </si>
  <si>
    <t xml:space="preserve">                           Раздел 3. Чердачное перектытие</t>
  </si>
  <si>
    <t>ФЕР12-01-013-05
ОЗП=1,15
ЭМ=1,25
ЗПМ=1,25
ТЗ=1,15
ТЗМ=1,25</t>
  </si>
  <si>
    <t>4,6679
466,79/100</t>
  </si>
  <si>
    <t>3362,48
289,17</t>
  </si>
  <si>
    <t>266,62
25,79</t>
  </si>
  <si>
    <t>12.32. Утепление покрытий плитами: из легких (ячеистых) бетонов или фибролита насухо: ОЗП=15,34; ЭМ=10,43; ЗПМ=15,34; МАТ=16,93</t>
  </si>
  <si>
    <t>16226
2309</t>
  </si>
  <si>
    <t>33,9
1,91</t>
  </si>
  <si>
    <t>158,24
8,92</t>
  </si>
  <si>
    <t>Утепление покрытий плитами: из легких (ячеистых) бетонов или фибролита насухо</t>
  </si>
  <si>
    <t>100 м2 утепляемого покрытия</t>
  </si>
  <si>
    <t>ФССЦ-408-0122</t>
  </si>
  <si>
    <t>Песок природный для строительных работ: средний; МАТ=8,338</t>
  </si>
  <si>
    <t>Песок природный для строительных работ средний</t>
  </si>
  <si>
    <t>м3</t>
  </si>
  <si>
    <t>ФССЦ-101-0774</t>
  </si>
  <si>
    <t>Плиты фибролитовые на портландцементе марки 300, толщиной:75 мм; МАТ=17,505</t>
  </si>
  <si>
    <t>Плиты фибролитовые на портландцементе марки 300, толщиной 75 мм</t>
  </si>
  <si>
    <t>ТССЦ-104-9100-91004</t>
  </si>
  <si>
    <t>Плиты теплоизоляционные энергетические гидрофобизированные базальтовые: ПТЭ-125 , размером 2000х1000х50 мм; МАТ=2,457</t>
  </si>
  <si>
    <t>Плиты теплоизоляционные энергетические гидрофобизированные базальтовые: ПТЭ-125 , размером 2000х1000х50 мм</t>
  </si>
  <si>
    <t>ФЕР12-01-015-03
ОЗП=1,15
ЭМ=1,25
ЗПМ=1,25
ТЗ=1,15
ТЗМ=1,25</t>
  </si>
  <si>
    <t>951,81
68,52</t>
  </si>
  <si>
    <t>31,79
1,76</t>
  </si>
  <si>
    <t>12.39. Устройство пароизоляции: прокладочной: ОЗП=15,34; ЭМ=10,12; ЗПМ=15,34; МАТ=5,13</t>
  </si>
  <si>
    <t>1878
158</t>
  </si>
  <si>
    <t>7,84
0,13</t>
  </si>
  <si>
    <t>36,6
0,61</t>
  </si>
  <si>
    <t>Устройство пароизоляции: прокладочной в один слой</t>
  </si>
  <si>
    <t>100 м2 изолируемой поверхности</t>
  </si>
  <si>
    <t>ТССЦ-104-9221-90001</t>
  </si>
  <si>
    <t>Изоспан: Защитный материал марки А; МАТ=1,273</t>
  </si>
  <si>
    <t>Изоспан: Защитный материал марки А</t>
  </si>
  <si>
    <t>0,867
86,7/100</t>
  </si>
  <si>
    <t>134
18</t>
  </si>
  <si>
    <t>3,29
0,07</t>
  </si>
  <si>
    <t>Укладка ходовых досок</t>
  </si>
  <si>
    <t>ФЕР10-01-039-05
ОЗП=1,15
ЭМ=1,25
ЗПМ=1,25
ТЗ=1,15
ТЗМ=1,25</t>
  </si>
  <si>
    <t>0,0128
1,28/100</t>
  </si>
  <si>
    <t>53417,55
1207,07</t>
  </si>
  <si>
    <t>1228,75
147,42</t>
  </si>
  <si>
    <t>10.95. Установка люков в перекрытиях: ОЗП=15,34; ЭМ=10,88; ЗПМ=15,34; МАТ=8,05</t>
  </si>
  <si>
    <t>214
36</t>
  </si>
  <si>
    <t>142,68
10,92</t>
  </si>
  <si>
    <t>1,83
0,14</t>
  </si>
  <si>
    <t>Установка люков в перекрытиях, площадь проема до 2 м2</t>
  </si>
  <si>
    <t>ФССЦ-101-0953</t>
  </si>
  <si>
    <t>Ручка-скоба из алюминиевого сплава анодированная; МАТ=1,927</t>
  </si>
  <si>
    <t>Ручка-скоба из алюминиевого сплава анодированная</t>
  </si>
  <si>
    <t>шт.</t>
  </si>
  <si>
    <t>ФССЦ-101-0956</t>
  </si>
  <si>
    <t>Петля накладная; МАТ=1,808</t>
  </si>
  <si>
    <t>Петля накладная</t>
  </si>
  <si>
    <t>14761
2016</t>
  </si>
  <si>
    <t>199,96
9,74</t>
  </si>
  <si>
    <t>18452
2520</t>
  </si>
  <si>
    <t>229,96
12,17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</si>
  <si>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45, 49, 52-53)</t>
  </si>
  <si>
    <t>3690
504</t>
  </si>
  <si>
    <t>29,994
2,435</t>
  </si>
  <si>
    <t xml:space="preserve">  90% =  118%*(0,85*0,9) ФОТ (от 813)  (Поз. 52-53)</t>
  </si>
  <si>
    <t xml:space="preserve">  92% =  120%*(0,85*0,9) ФОТ (от 31920)  (Поз. 45, 49)</t>
  </si>
  <si>
    <t xml:space="preserve">  43% =  63%*(0,8*0,85) ФОТ (от 813)  (Поз. 52-53)</t>
  </si>
  <si>
    <t xml:space="preserve">  44% =  65%*(0,8*0,85) ФОТ (от 31920)  (Поз. 45, 49)</t>
  </si>
  <si>
    <t>Итоги по разделу 3 Чердачное перектытие :</t>
  </si>
  <si>
    <t xml:space="preserve">  Кровли</t>
  </si>
  <si>
    <t>224,07
11,91</t>
  </si>
  <si>
    <t xml:space="preserve">  Материалы</t>
  </si>
  <si>
    <t>5,89
0,26</t>
  </si>
  <si>
    <t xml:space="preserve">  Итого по разделу 3 Чердачное перектытие</t>
  </si>
  <si>
    <t xml:space="preserve">                           Раздел 4. Вывод фановых труб</t>
  </si>
  <si>
    <t>ФЕР16-04-001-02
ОЗП=1,15
ЭМ=1,25
ЗПМ=1,25
ТЗ=1,15
ТЗМ=1,25</t>
  </si>
  <si>
    <t>0,363
36,3/100</t>
  </si>
  <si>
    <t>14153,43
611,07</t>
  </si>
  <si>
    <t>6,58
0,68</t>
  </si>
  <si>
    <t>16.103 Прокладка трубопроводов канализации из полиэтиленовых труб высокой плотности диаметром: 100 мм: ОЗП=15,34; ЭМ=10,46; ЗПМ=15,34; МАТ=2,56</t>
  </si>
  <si>
    <t>31
5</t>
  </si>
  <si>
    <t>61,6
0,05</t>
  </si>
  <si>
    <t>22,36
0,02</t>
  </si>
  <si>
    <t>НР 98%=128%*(0,85*0,9) от ФОТ</t>
  </si>
  <si>
    <t>СП 56%=83%*(0,8*0,85) от ФОТ</t>
  </si>
  <si>
    <t>Прокладка трубопроводов канализации из полиэтиленовых труб высокой плотности диаметром: 110 мм</t>
  </si>
  <si>
    <t>100 м трубопровода</t>
  </si>
  <si>
    <t>ФЕР26-01-055-02
ОЗП=1,15
ЭМ=1,25
ЗПМ=1,25
ТЗ=1,15
ТЗМ=1,25</t>
  </si>
  <si>
    <t>0,1254
12,54/100</t>
  </si>
  <si>
    <t>1532,98
125,51</t>
  </si>
  <si>
    <t>25.74 Установка пароизоляционного слоя из пленки полиэтиленовой: ОЗП=15,34; ЭМ=9,61; ЗПМ=15,34; МАТ=0,9</t>
  </si>
  <si>
    <t>Установка пароизоляционного слоя из: пленки полиэтиленовой (без стекловолокнистых материалов)</t>
  </si>
  <si>
    <t>100 м2 поверхности покрытия изоляции</t>
  </si>
  <si>
    <t>ТССЦ-113-1952</t>
  </si>
  <si>
    <t>Пленка полиэтиленовая толщиной 0,2-0,5 мм, изоловая; МАТ=1,404</t>
  </si>
  <si>
    <t>Пленка полиэтиленовая толщиной 0,2-0,5 мм, изоловая</t>
  </si>
  <si>
    <t>ФЕР26-01-009-01
ОЗП=1,15
ЭМ=1,25
ЗПМ=1,25
ТЗ=1,15
ТЗМ=1,25</t>
  </si>
  <si>
    <t>1562,09
183,98</t>
  </si>
  <si>
    <t>25.13. Изоляция трубопроводов: матами минераловатными марок 75, 100, плитами минераловатными на синтетическом связующем марки 75: ОЗП=15,34; ЭМ=9,55; ЗПМ=15,34; МАТ=3,1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</si>
  <si>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</si>
  <si>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</si>
  <si>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ФССЦ-104-0009</t>
  </si>
  <si>
    <t>Маты прошивные из минеральной ваты:без обкладок М-100, толщина 60 мм; МАТ=3,36</t>
  </si>
  <si>
    <t>Маты прошивные из минеральной ваты без обкладок М-100, толщина 60 мм</t>
  </si>
  <si>
    <t>ТССЦ-104-9242-90005</t>
  </si>
  <si>
    <t>Утеплитель URSA: М 15, толщиной 50 мм; МАТ=1,928</t>
  </si>
  <si>
    <t>Утеплитель URSA: М 15, толщиной 50 мм</t>
  </si>
  <si>
    <t>1355
4</t>
  </si>
  <si>
    <t>69,21
0,02</t>
  </si>
  <si>
    <t>1694
5</t>
  </si>
  <si>
    <t>79,59
0,03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</si>
  <si>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56-57, 60)</t>
  </si>
  <si>
    <t>339
1</t>
  </si>
  <si>
    <t>10,3815
0,005</t>
  </si>
  <si>
    <t xml:space="preserve">  77% =  100%*(0,85*0,9) ФОТ (от 8034)  (Поз. 57, 60)</t>
  </si>
  <si>
    <t xml:space="preserve">  98% =  128%*(0,85*0,9) ФОТ (от 3918)  (Поз. 56)</t>
  </si>
  <si>
    <t xml:space="preserve">  48% =  70%*(0,8*0,85) ФОТ (от 8034)  (Поз. 57, 60)</t>
  </si>
  <si>
    <t xml:space="preserve">  56% =  83%*(0,8*0,85) ФОТ (от 3918)  (Поз. 56)</t>
  </si>
  <si>
    <t>Итоги по разделу 4 Вывод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</si>
  <si>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</si>
  <si>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25,71
0,03</t>
  </si>
  <si>
    <t xml:space="preserve">  Теплоизоляционные работы</t>
  </si>
  <si>
    <t xml:space="preserve">  Итого по разделу 4 Вывод фановых труб</t>
  </si>
  <si>
    <t xml:space="preserve">                           Раздел 5. Вентиляционные каналы</t>
  </si>
  <si>
    <t>ФЕР08-02-001-09
ОЗП=1,15
ЭМ=1,25
ЗПМ=1,25
ТЗ=1,15
ТЗМ=1,25</t>
  </si>
  <si>
    <t>913,25
58,83</t>
  </si>
  <si>
    <t>31,1
4,86</t>
  </si>
  <si>
    <t>8.14. Кладка стен из кирпича: ОЗП=15,34; ЭМ=11,44; ЗПМ=15,34; МАТ=4,46</t>
  </si>
  <si>
    <t>2954
619</t>
  </si>
  <si>
    <t>7,08
0,36</t>
  </si>
  <si>
    <t>47,02
2,39</t>
  </si>
  <si>
    <t>Кладка стен приямков и каналов</t>
  </si>
  <si>
    <t>ФЕР15-02-015-01
ОЗП=1,15
ЭМ=1,25
ЗПМ=1,25
ТЗ=1,15
ТЗМ=1,25</t>
  </si>
  <si>
    <t>0,637
63,7/100</t>
  </si>
  <si>
    <t>1486,01
595,54</t>
  </si>
  <si>
    <t>80,02
50,55</t>
  </si>
  <si>
    <t>15.78 Штукатурка поверхностей известковым раствором по камню и бетону: ОЗП=15,34; ЭМ=12,77; ЗПМ=15,34; МАТ=4,77</t>
  </si>
  <si>
    <t>814
618</t>
  </si>
  <si>
    <t>65,66
4,99</t>
  </si>
  <si>
    <t>41,83
3,18</t>
  </si>
  <si>
    <t>НР 80%=105%*(0,85*0,9) от ФОТ</t>
  </si>
  <si>
    <t>СП 37%=55%*(0,8*0,85) от ФОТ</t>
  </si>
  <si>
    <t>Штукатурка поверхностей внутри здания известковым раствором простая: по камню и бетону стен</t>
  </si>
  <si>
    <t>100 м2 оштукатуриваемой поверхности</t>
  </si>
  <si>
    <t>ФССЦ-113-1952</t>
  </si>
  <si>
    <t>Пленка полиэтиленовая толщиной 0,2-0,5 мм, изоловая; МАТ=1,212</t>
  </si>
  <si>
    <t>ФЕР26-01-036-01
ОЗП=1,15
ЭМ=1,25
ЗПМ=1,25
ТЗ=1,15
ТЗМ=1,25</t>
  </si>
  <si>
    <t>247,16
132,33</t>
  </si>
  <si>
    <t>9,38
0,41</t>
  </si>
  <si>
    <t>25.40 Изоляция изделиями из волокнистых и зернистых материалов с креплением на клее и дюбелями холодных поверхностей: наружных стен: ОЗП=15,34; ЭМ=8,32; ЗПМ=15,34; МАТ=1,63</t>
  </si>
  <si>
    <t>63
5</t>
  </si>
  <si>
    <t>16,06
0,03</t>
  </si>
  <si>
    <t>10,23
0,02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</si>
  <si>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</si>
  <si>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</si>
  <si>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ФССЦ-101-2797
ОЗП=1,15
ЭМ=1,25
ЗПМ=1,25
ТЗ=1,15
ТЗМ=1,25</t>
  </si>
  <si>
    <t>31,8
318/10</t>
  </si>
  <si>
    <t>Дюбель распорный с металлическим стержнем: 10х150 мм; МАТ=10,361</t>
  </si>
  <si>
    <t>Дюбель распорный с металлическим стержнем 10х150 мм</t>
  </si>
  <si>
    <t>10 шт.</t>
  </si>
  <si>
    <t>ФССЦ-101-0044</t>
  </si>
  <si>
    <t>Листы асбестоцементные плоские с гладкой поверхностью:прессованные толщиной 10 мм; МАТ=7,671</t>
  </si>
  <si>
    <t>Листы асбестоцементные плоские с гладкой поверхностью прессованные толщиной 10 мм</t>
  </si>
  <si>
    <t>ФЕР26-01-054-03
ОЗП=1,15
ЭМ=1,25
ЗПМ=1,25
ТЗ=1,15
ТЗМ=1,25</t>
  </si>
  <si>
    <t>0,63072
63,072/100</t>
  </si>
  <si>
    <t>4027,24
380,16</t>
  </si>
  <si>
    <t>25.73 Оклеивание поверхности изоляции: тканями стеклянными, хлопчатобумажными на клее ПВА: ОЗП=15,34; ЭМ=9,38; ЗПМ=15,34; МАТ=3,44</t>
  </si>
  <si>
    <t>Оклеивание поверхности изоляции: тканями стеклянными, хлопчатобумажными на клее ПВА</t>
  </si>
  <si>
    <t>ФЕР12-01-010-01
ОЗП=1,15
ЭМ=1,25
ЗПМ=1,25
ТЗ=1,15
ТЗМ=1,25</t>
  </si>
  <si>
    <t>0,2318
23,18/100</t>
  </si>
  <si>
    <t>9875,72
961,76</t>
  </si>
  <si>
    <t>23,38
2,7</t>
  </si>
  <si>
    <t>12.27. Устройство мелких покрытий (брандмауэры, парапеты, свесы и т.п.) из листовой оцинкованной стали: ОЗП=15,34; ЭМ=10,96; ЗПМ=15,34; МАТ=2,73</t>
  </si>
  <si>
    <t>74
13</t>
  </si>
  <si>
    <t>112,75
0,2</t>
  </si>
  <si>
    <t>26,14
0,05</t>
  </si>
  <si>
    <t>Устройство мелких покрытий (брандмауэры, парапеты, свесы и т.п.) из листовой оцинкованной стали (за пределами кровли)</t>
  </si>
  <si>
    <t>ФЕР10-01-010-01
ОЗП=1,15
ЭМ=1,25
ЗПМ=1,25
ТЗ=1,15
ТЗМ=1,25</t>
  </si>
  <si>
    <t>2411,06
188,55</t>
  </si>
  <si>
    <t>10.18. Установка деревянных элементов каркаса: ОЗП=15,34; ЭМ=9,36; ЗПМ=15,34; МАТ=3,29</t>
  </si>
  <si>
    <t>Установка элементов каркаса: из брусьев (каркас вент каналов)</t>
  </si>
  <si>
    <t>ФЕР20-02-010-07
ОЗП=1,15
ЭМ=1,25
ЗПМ=1,25
ТЗ=1,15
ТЗМ=1,25</t>
  </si>
  <si>
    <t>42
26,4</t>
  </si>
  <si>
    <t>7,21
0,14</t>
  </si>
  <si>
    <t>20.25 Установка зонтов над шахтами из листовой и оцинкованной стали: ОЗП=15,34; ЭМ=6,57; ЗПМ=15,34; МАТ=6,11</t>
  </si>
  <si>
    <t>236
11</t>
  </si>
  <si>
    <t>2,98
0,01</t>
  </si>
  <si>
    <t>11,92
0,04</t>
  </si>
  <si>
    <t>Установка зонтов над шахтами из листовой стали прямоугольного сечения периметром: 3600 мм</t>
  </si>
  <si>
    <t>1 зонт</t>
  </si>
  <si>
    <t>ФССЦ-301-0294</t>
  </si>
  <si>
    <t>Зонты вентиляционных систем из листовой оцинкованной стали, прямоугольные, периметром шахты 3600 мм; МАТ=3,696</t>
  </si>
  <si>
    <t>Зонты вентиляционных систем из листовой оцинкованной стали, прямоугольные, периметром шахты 3600 мм</t>
  </si>
  <si>
    <t>ФЕР20-02-010-05
ОЗП=1,15
ЭМ=1,25
ЗПМ=1,25
ТЗ=1,15
ТЗМ=1,25</t>
  </si>
  <si>
    <t>30,82
20,11</t>
  </si>
  <si>
    <t>Установка зонтов над шахтами из листовой стали прямоугольного сечения периметром: 2600 мм</t>
  </si>
  <si>
    <t>ФССЦ-301-0292</t>
  </si>
  <si>
    <t>Зонты вентиляционных систем из листовой оцинкованной стали, прямоугольные, периметром шахты 2600 мм; МАТ=5,067</t>
  </si>
  <si>
    <t>Зонты вентиляционных систем из листовой оцинкованной стали, прямоугольные, периметром шахты 2600 мм</t>
  </si>
  <si>
    <t>ФЕР20-02-010-06
ОЗП=1,15
ЭМ=1,25
ЗПМ=1,25
ТЗ=1,15
ТЗМ=1,25</t>
  </si>
  <si>
    <t>33,93
20,11</t>
  </si>
  <si>
    <t>5,74
0,14</t>
  </si>
  <si>
    <t>48
3</t>
  </si>
  <si>
    <t>2,27
0,01</t>
  </si>
  <si>
    <t>Установка зонтов над шахтами из листовой стали прямоугольного сечения периметром: 3200 мм</t>
  </si>
  <si>
    <t>ФССЦ-301-0293</t>
  </si>
  <si>
    <t>Зонты вентиляционных систем из листовой оцинкованной стали, прямоугольные, периметром шахты 3200 мм; МАТ=5,678</t>
  </si>
  <si>
    <t>Зонты вентиляционных систем из листовой оцинкованной стали, прямоугольные, периметром шахты 3200 мм</t>
  </si>
  <si>
    <t>3874
1014</t>
  </si>
  <si>
    <t>192,48
5,69</t>
  </si>
  <si>
    <t>4844
1269</t>
  </si>
  <si>
    <t>221,34
7,12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</si>
  <si>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63-65, 68-69, 72-75, 77, 79)</t>
  </si>
  <si>
    <t>968
254</t>
  </si>
  <si>
    <t>28,872
1,4225</t>
  </si>
  <si>
    <t xml:space="preserve">  77% =  100%*(0,85*0,9) ФОТ (от 7132)  (Поз. 65, 68-69, 72)</t>
  </si>
  <si>
    <t xml:space="preserve">  80% =  105%*(0,85*0,9) ФОТ (от 7310)  (Поз. 64)</t>
  </si>
  <si>
    <t xml:space="preserve">  90% =  118%*(0,85*0,9) ФОТ (от 1719)  (Поз. 74)</t>
  </si>
  <si>
    <t xml:space="preserve">  92% =  120%*(0,85*0,9) ФОТ (от 3946)  (Поз. 73)</t>
  </si>
  <si>
    <t xml:space="preserve">  93% =  122%*(0,85*0,9) ФОТ (от 7511)  (Поз. 63)</t>
  </si>
  <si>
    <t xml:space="preserve">  98% =  128%*(0,85*0,9) ФОТ (от 2941)  (Поз. 75, 77, 79)</t>
  </si>
  <si>
    <t xml:space="preserve">  37% =  55%*(0,8*0,85) ФОТ (от 7310)  (Поз. 64)</t>
  </si>
  <si>
    <t xml:space="preserve">  43% =  63%*(0,8*0,85) ФОТ (от 1719)  (Поз. 74)</t>
  </si>
  <si>
    <t xml:space="preserve">  44% =  65%*(0,8*0,85) ФОТ (от 3946)  (Поз. 73)</t>
  </si>
  <si>
    <t xml:space="preserve">  48% =  70%*(0,8*0,85) ФОТ (от 7132)  (Поз. 65, 68-69, 72)</t>
  </si>
  <si>
    <t xml:space="preserve">  54% =  80%*(0,8*0,85) ФОТ (от 7511)  (Поз. 63)</t>
  </si>
  <si>
    <t xml:space="preserve">  56% =  83%*(0,8*0,85) ФОТ (от 2941)  (Поз. 75, 77, 79)</t>
  </si>
  <si>
    <t>Итоги по разделу 5 Вентиляционные каналы :</t>
  </si>
  <si>
    <t xml:space="preserve">  Конструкции из кирпича и блоков</t>
  </si>
  <si>
    <t>54,07
2,99</t>
  </si>
  <si>
    <t xml:space="preserve">  Отделочные работы</t>
  </si>
  <si>
    <t>48,1
3,98</t>
  </si>
  <si>
    <t>54,2
0,03</t>
  </si>
  <si>
    <t>30,06
0,06</t>
  </si>
  <si>
    <t>21,54
0,06</t>
  </si>
  <si>
    <t xml:space="preserve">  Итого по разделу 5 Вентиляционные каналы</t>
  </si>
  <si>
    <t xml:space="preserve">                           Раздел 6. Доставка материалов</t>
  </si>
  <si>
    <t>ФССЦпг03-02-01-100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</si>
  <si>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</si>
  <si>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</t>
  </si>
  <si>
    <t>ФССЦпг03-01-01-100
ПЗ=1,25
ОЗП=1,25
ЭМ=1,25
ЗПМ=1,25
МАТ=1,25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</si>
  <si>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км.: I класс груза; ЭМ=9,94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</si>
  <si>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</t>
  </si>
  <si>
    <t>ФССЦпг03-02-02-100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</si>
  <si>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</si>
  <si>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</t>
  </si>
  <si>
    <t>ФССЦпг03-02-03-100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</si>
  <si>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III класс груза; ЭМ=9,61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</si>
  <si>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III класс груза</t>
  </si>
  <si>
    <t>ФССЦпг03-02-04-100
ПЗ=1,25
ОЗП=1,25
ЭМ=1,25
ЗПМ=1,25
МАТ=1,25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</si>
  <si>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ЭМ=9,61</t>
  </si>
  <si>
    <t>Составлен(а) в текущих ценах по состоянию на 2 кв. 2014 года</t>
  </si>
  <si>
    <t>НДС 18%</t>
  </si>
  <si>
    <t>ВСЕГО по смете</t>
  </si>
  <si>
    <t>Проверил:__________________</t>
  </si>
  <si>
    <t>Составил:__________________</t>
  </si>
  <si>
    <t>понижающий коэффициент 0.804064965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</si>
</sst>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u val="single"/>
      <sz val="9"/>
      <name val="Tahoma"/>
      <family val="2"/>
    </font>
    <font>
      <b/>
      <sz val="10"/>
      <name val="Arial Cyr"/>
      <family val="0"/>
    </font>
    <font>
      <i/>
      <sz val="10"/>
      <name val="Tahoma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2" fillId="0" borderId="1">
      <alignment horizontal="center"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2" fillId="0" borderId="1">
      <alignment horizontal="center"/>
      <protection/>
    </xf>
    <xf numFmtId="0" fontId="42" fillId="26" borderId="3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8" fillId="27" borderId="8" applyNumberFormat="0" applyAlignment="0" applyProtection="0"/>
    <xf numFmtId="0" fontId="2" fillId="0" borderId="1">
      <alignment horizontal="center" wrapText="1"/>
      <protection/>
    </xf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1">
      <alignment horizontal="center"/>
      <protection/>
    </xf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53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54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68">
      <alignment horizontal="right" indent="1"/>
    </xf>
    <xf numFmtId="0" fontId="2" fillId="0" borderId="0" xfId="68" applyBorder="1">
      <alignment horizontal="right" inden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6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1" xfId="68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68" applyFont="1" applyAlignment="1" quotePrefix="1">
      <alignment horizontal="left"/>
    </xf>
    <xf numFmtId="0" fontId="14" fillId="0" borderId="0" xfId="69" applyFont="1" applyAlignment="1">
      <alignment horizontal="left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 quotePrefix="1">
      <alignment horizontal="right" vertical="top"/>
    </xf>
    <xf numFmtId="0" fontId="14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14" fillId="0" borderId="0" xfId="0" applyFont="1" applyBorder="1" applyAlignment="1" quotePrefix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72" applyFont="1" applyAlignment="1">
      <alignment horizontal="left" vertical="top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3" fillId="0" borderId="12" xfId="54" applyFont="1" applyBorder="1" applyAlignment="1">
      <alignment horizontal="center" wrapText="1"/>
      <protection/>
    </xf>
    <xf numFmtId="0" fontId="9" fillId="0" borderId="13" xfId="54" applyFont="1" applyBorder="1">
      <alignment horizontal="center" wrapText="1"/>
      <protection/>
    </xf>
    <xf numFmtId="0" fontId="9" fillId="0" borderId="12" xfId="54" applyFont="1" applyBorder="1">
      <alignment horizontal="center" wrapText="1"/>
      <protection/>
    </xf>
    <xf numFmtId="0" fontId="11" fillId="0" borderId="12" xfId="54" applyFont="1" applyBorder="1" applyAlignment="1">
      <alignment horizontal="left" vertical="top" wrapText="1"/>
      <protection/>
    </xf>
    <xf numFmtId="0" fontId="2" fillId="0" borderId="12" xfId="54" applyBorder="1">
      <alignment horizontal="center" wrapText="1"/>
      <protection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2" fillId="0" borderId="1" xfId="68" applyBorder="1">
      <alignment horizontal="right" inden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3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 horizontal="right" vertical="top" wrapText="1"/>
    </xf>
    <xf numFmtId="0" fontId="16" fillId="0" borderId="1" xfId="52" applyFont="1" applyBorder="1" applyAlignment="1">
      <alignment horizontal="left" vertical="top" wrapText="1"/>
      <protection/>
    </xf>
    <xf numFmtId="0" fontId="19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4" fillId="0" borderId="0" xfId="68" applyFont="1" applyAlignment="1">
      <alignment horizontal="left" vertical="top" wrapText="1"/>
    </xf>
    <xf numFmtId="0" fontId="14" fillId="0" borderId="0" xfId="68" applyFont="1" applyAlignment="1">
      <alignment horizontal="right" vertical="top" wrapTex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68" applyFont="1" applyAlignment="1">
      <alignment horizontal="left"/>
    </xf>
    <xf numFmtId="0" fontId="13" fillId="0" borderId="16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2" fontId="14" fillId="0" borderId="11" xfId="68" applyNumberFormat="1" applyFont="1" applyBorder="1">
      <alignment horizontal="right" indent="1"/>
    </xf>
    <xf numFmtId="0" fontId="14" fillId="0" borderId="11" xfId="68" applyFont="1" applyBorder="1">
      <alignment horizontal="right" indent="1"/>
    </xf>
    <xf numFmtId="0" fontId="14" fillId="0" borderId="22" xfId="68" applyFont="1" applyBorder="1">
      <alignment horizontal="right" indent="1"/>
    </xf>
    <xf numFmtId="0" fontId="3" fillId="0" borderId="0" xfId="0" applyFont="1" applyBorder="1" applyAlignment="1">
      <alignment horizontal="right" vertical="top" wrapText="1"/>
    </xf>
    <xf numFmtId="0" fontId="13" fillId="0" borderId="0" xfId="52" applyFont="1" applyBorder="1" applyAlignment="1">
      <alignment horizontal="righ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7"/>
  <sheetViews>
    <sheetView showGridLines="0" tabSelected="1" zoomScale="91" zoomScaleNormal="91" zoomScalePageLayoutView="0" workbookViewId="0" topLeftCell="A304">
      <selection activeCell="K332" sqref="K332"/>
    </sheetView>
  </sheetViews>
  <sheetFormatPr defaultColWidth="9.00390625" defaultRowHeight="12.75"/>
  <cols>
    <col min="1" max="1" width="5.625" style="3" customWidth="1"/>
    <col min="2" max="2" width="18.125" style="3" customWidth="1"/>
    <col min="3" max="3" width="46.25390625" style="3" customWidth="1"/>
    <col min="4" max="4" width="12.25390625" style="3" customWidth="1"/>
    <col min="5" max="5" width="10.875" style="4" customWidth="1"/>
    <col min="6" max="6" width="10.75390625" style="4" customWidth="1"/>
    <col min="7" max="7" width="10.00390625" style="4" customWidth="1"/>
    <col min="8" max="8" width="26.375" style="4" customWidth="1"/>
    <col min="9" max="9" width="10.25390625" style="4" customWidth="1"/>
    <col min="10" max="10" width="9.25390625" style="4" customWidth="1"/>
    <col min="11" max="11" width="9.125" style="4" customWidth="1"/>
    <col min="12" max="12" width="8.875" style="4" customWidth="1"/>
    <col min="13" max="13" width="8.00390625" style="4" customWidth="1"/>
    <col min="14" max="14" width="7.625" style="2" customWidth="1"/>
    <col min="15" max="15" width="9.125" style="2" customWidth="1"/>
    <col min="16" max="16" width="19.75390625" style="2" customWidth="1"/>
    <col min="17" max="26" width="9.125" style="2" customWidth="1"/>
    <col min="27" max="34" width="30.75390625" style="2" customWidth="1"/>
    <col min="35" max="35" width="31.625" style="2" customWidth="1"/>
    <col min="36" max="16384" width="9.125" style="2" customWidth="1"/>
  </cols>
  <sheetData>
    <row r="1" spans="1:14" s="1" customFormat="1" ht="12.75">
      <c r="A1" s="12"/>
      <c r="B1" s="13"/>
      <c r="C1" s="12"/>
      <c r="D1" s="14"/>
      <c r="E1" s="15"/>
      <c r="F1" s="16" t="s">
        <v>27</v>
      </c>
      <c r="G1" s="15"/>
      <c r="H1" s="17"/>
      <c r="I1" s="12"/>
      <c r="J1" s="12"/>
      <c r="K1" s="12"/>
      <c r="L1" s="12"/>
      <c r="M1" s="12"/>
      <c r="N1" s="18"/>
    </row>
    <row r="2" spans="1:14" s="1" customFormat="1" ht="12.75">
      <c r="A2" s="19" t="s">
        <v>35</v>
      </c>
      <c r="B2" s="13"/>
      <c r="C2" s="18"/>
      <c r="D2" s="17"/>
      <c r="E2" s="14"/>
      <c r="F2" s="20" t="s">
        <v>31</v>
      </c>
      <c r="G2" s="20"/>
      <c r="H2" s="18"/>
      <c r="J2" s="19"/>
      <c r="L2" s="19"/>
      <c r="M2" s="12"/>
      <c r="N2" s="52" t="s">
        <v>36</v>
      </c>
    </row>
    <row r="3" spans="1:14" s="1" customFormat="1" ht="12.75">
      <c r="A3" s="51"/>
      <c r="B3" s="18"/>
      <c r="C3" s="18"/>
      <c r="D3" s="18"/>
      <c r="E3" s="12"/>
      <c r="F3" s="12"/>
      <c r="G3" s="12"/>
      <c r="H3" s="12"/>
      <c r="J3" s="19"/>
      <c r="L3" s="19"/>
      <c r="M3" s="12"/>
      <c r="N3" s="53"/>
    </row>
    <row r="4" spans="1:14" s="1" customFormat="1" ht="51" customHeight="1">
      <c r="A4" s="86"/>
      <c r="B4" s="86"/>
      <c r="C4" s="86"/>
      <c r="D4" s="18"/>
      <c r="E4" s="14"/>
      <c r="F4" s="22" t="s">
        <v>28</v>
      </c>
      <c r="G4" s="12"/>
      <c r="H4" s="18"/>
      <c r="I4" s="87"/>
      <c r="J4" s="87"/>
      <c r="K4" s="87"/>
      <c r="L4" s="87"/>
      <c r="M4" s="87"/>
      <c r="N4" s="87"/>
    </row>
    <row r="5" spans="1:14" s="1" customFormat="1" ht="12.75">
      <c r="A5" s="12"/>
      <c r="B5" s="12"/>
      <c r="C5" s="12"/>
      <c r="D5" s="18"/>
      <c r="E5" s="14"/>
      <c r="F5" s="12" t="s">
        <v>32</v>
      </c>
      <c r="G5" s="12"/>
      <c r="H5" s="18"/>
      <c r="I5" s="12"/>
      <c r="J5" s="12"/>
      <c r="K5" s="12"/>
      <c r="L5" s="12"/>
      <c r="M5" s="12"/>
      <c r="N5" s="18"/>
    </row>
    <row r="6" spans="1:14" s="1" customFormat="1" ht="12.75">
      <c r="A6" s="12"/>
      <c r="B6" s="12"/>
      <c r="C6" s="12"/>
      <c r="D6" s="18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1" customFormat="1" ht="12.75">
      <c r="A7" s="12"/>
      <c r="B7" s="12"/>
      <c r="C7" s="23"/>
      <c r="D7" s="24"/>
      <c r="E7" s="25"/>
      <c r="F7" s="25" t="s">
        <v>29</v>
      </c>
      <c r="G7" s="25"/>
      <c r="H7" s="25"/>
      <c r="I7" s="21"/>
      <c r="J7" s="21"/>
      <c r="K7" s="21"/>
      <c r="L7" s="21"/>
      <c r="M7" s="12"/>
      <c r="N7" s="18"/>
    </row>
    <row r="8" spans="1:14" s="1" customFormat="1" ht="12.75">
      <c r="A8" s="12"/>
      <c r="B8" s="12"/>
      <c r="C8" s="12"/>
      <c r="D8" s="26" t="s">
        <v>50</v>
      </c>
      <c r="E8" s="20"/>
      <c r="F8" s="20"/>
      <c r="G8" s="20"/>
      <c r="H8" s="18"/>
      <c r="I8" s="21"/>
      <c r="J8" s="21"/>
      <c r="K8" s="21"/>
      <c r="L8" s="21"/>
      <c r="M8" s="12"/>
      <c r="N8" s="18"/>
    </row>
    <row r="9" spans="1:14" s="1" customFormat="1" ht="7.5" customHeight="1">
      <c r="A9" s="27"/>
      <c r="B9" s="27"/>
      <c r="C9" s="12"/>
      <c r="D9" s="18"/>
      <c r="E9" s="12"/>
      <c r="F9" s="12"/>
      <c r="G9" s="12"/>
      <c r="H9" s="12"/>
      <c r="I9" s="12"/>
      <c r="J9" s="12"/>
      <c r="K9" s="18"/>
      <c r="L9" s="18"/>
      <c r="M9" s="12"/>
      <c r="N9" s="18"/>
    </row>
    <row r="10" spans="1:14" ht="12.75">
      <c r="A10" s="92" t="s">
        <v>30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.75">
      <c r="A11" s="28" t="s">
        <v>39</v>
      </c>
      <c r="B11" s="29"/>
      <c r="C11" s="107">
        <f>I315</f>
        <v>1548430.45</v>
      </c>
      <c r="D11" s="108"/>
      <c r="E11" s="108"/>
      <c r="F11" s="30" t="s">
        <v>38</v>
      </c>
      <c r="G11" s="31"/>
      <c r="H11" s="31"/>
      <c r="I11" s="31"/>
      <c r="J11" s="31"/>
      <c r="K11" s="32"/>
      <c r="L11" s="32"/>
      <c r="M11" s="32"/>
      <c r="N11" s="33"/>
    </row>
    <row r="12" spans="1:14" ht="12.75">
      <c r="A12" s="28" t="s">
        <v>49</v>
      </c>
      <c r="B12" s="29"/>
      <c r="C12" s="34"/>
      <c r="D12" s="109">
        <v>303660</v>
      </c>
      <c r="E12" s="109"/>
      <c r="F12" s="30" t="s">
        <v>38</v>
      </c>
      <c r="G12" s="31"/>
      <c r="H12" s="31"/>
      <c r="I12" s="31"/>
      <c r="J12" s="31"/>
      <c r="K12" s="32"/>
      <c r="L12" s="32"/>
      <c r="M12" s="32"/>
      <c r="N12" s="33"/>
    </row>
    <row r="13" spans="1:14" ht="12.75">
      <c r="A13" s="28" t="s">
        <v>670</v>
      </c>
      <c r="B13" s="33"/>
      <c r="C13" s="35"/>
      <c r="D13" s="36"/>
      <c r="E13" s="37"/>
      <c r="F13" s="38"/>
      <c r="G13" s="39"/>
      <c r="H13" s="39"/>
      <c r="I13" s="31"/>
      <c r="J13" s="31"/>
      <c r="K13" s="32"/>
      <c r="L13" s="32"/>
      <c r="M13" s="32"/>
      <c r="N13" s="33"/>
    </row>
    <row r="14" spans="1:14" ht="11.25" customHeight="1">
      <c r="A14" s="40"/>
      <c r="B14" s="30"/>
      <c r="C14" s="30"/>
      <c r="D14" s="40"/>
      <c r="E14" s="31"/>
      <c r="F14" s="31"/>
      <c r="G14" s="31"/>
      <c r="H14" s="34"/>
      <c r="I14" s="31"/>
      <c r="J14" s="31"/>
      <c r="K14" s="31"/>
      <c r="L14" s="31"/>
      <c r="M14" s="31"/>
      <c r="N14" s="33" t="s">
        <v>38</v>
      </c>
    </row>
    <row r="15" spans="1:14" ht="12.75" customHeight="1">
      <c r="A15" s="90" t="s">
        <v>33</v>
      </c>
      <c r="B15" s="90" t="s">
        <v>46</v>
      </c>
      <c r="C15" s="88" t="s">
        <v>51</v>
      </c>
      <c r="D15" s="88" t="s">
        <v>47</v>
      </c>
      <c r="E15" s="97" t="s">
        <v>52</v>
      </c>
      <c r="F15" s="98"/>
      <c r="G15" s="99"/>
      <c r="H15" s="88" t="s">
        <v>34</v>
      </c>
      <c r="I15" s="97" t="s">
        <v>53</v>
      </c>
      <c r="J15" s="103"/>
      <c r="K15" s="103"/>
      <c r="L15" s="94"/>
      <c r="M15" s="93" t="s">
        <v>48</v>
      </c>
      <c r="N15" s="94"/>
    </row>
    <row r="16" spans="1:14" s="5" customFormat="1" ht="38.25" customHeight="1">
      <c r="A16" s="91"/>
      <c r="B16" s="91"/>
      <c r="C16" s="91"/>
      <c r="D16" s="91"/>
      <c r="E16" s="100"/>
      <c r="F16" s="101"/>
      <c r="G16" s="102"/>
      <c r="H16" s="91"/>
      <c r="I16" s="95"/>
      <c r="J16" s="104"/>
      <c r="K16" s="104"/>
      <c r="L16" s="96"/>
      <c r="M16" s="95"/>
      <c r="N16" s="96"/>
    </row>
    <row r="17" spans="1:14" s="5" customFormat="1" ht="12.75" customHeight="1">
      <c r="A17" s="91"/>
      <c r="B17" s="91"/>
      <c r="C17" s="91"/>
      <c r="D17" s="91"/>
      <c r="E17" s="41" t="s">
        <v>41</v>
      </c>
      <c r="F17" s="41" t="s">
        <v>43</v>
      </c>
      <c r="G17" s="88" t="s">
        <v>45</v>
      </c>
      <c r="H17" s="91"/>
      <c r="I17" s="88" t="s">
        <v>41</v>
      </c>
      <c r="J17" s="88" t="s">
        <v>44</v>
      </c>
      <c r="K17" s="41" t="s">
        <v>43</v>
      </c>
      <c r="L17" s="88" t="s">
        <v>45</v>
      </c>
      <c r="M17" s="90" t="s">
        <v>37</v>
      </c>
      <c r="N17" s="88" t="s">
        <v>41</v>
      </c>
    </row>
    <row r="18" spans="1:14" s="5" customFormat="1" ht="11.25" customHeight="1">
      <c r="A18" s="89"/>
      <c r="B18" s="89"/>
      <c r="C18" s="89"/>
      <c r="D18" s="89"/>
      <c r="E18" s="42" t="s">
        <v>40</v>
      </c>
      <c r="F18" s="41" t="s">
        <v>42</v>
      </c>
      <c r="G18" s="89"/>
      <c r="H18" s="89"/>
      <c r="I18" s="89"/>
      <c r="J18" s="89"/>
      <c r="K18" s="41" t="s">
        <v>42</v>
      </c>
      <c r="L18" s="89"/>
      <c r="M18" s="89"/>
      <c r="N18" s="89"/>
    </row>
    <row r="19" spans="1:35" ht="18">
      <c r="A19" s="54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54">
        <v>8</v>
      </c>
      <c r="I19" s="54">
        <v>9</v>
      </c>
      <c r="J19" s="54">
        <v>10</v>
      </c>
      <c r="K19" s="54">
        <v>11</v>
      </c>
      <c r="L19" s="54">
        <v>12</v>
      </c>
      <c r="M19" s="54">
        <v>13</v>
      </c>
      <c r="N19" s="54">
        <v>14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5"/>
      <c r="AB19" s="56"/>
      <c r="AC19" s="56"/>
      <c r="AD19" s="56"/>
      <c r="AE19" s="56"/>
      <c r="AF19" s="57"/>
      <c r="AG19" s="58"/>
      <c r="AH19" s="58"/>
      <c r="AI19" s="58"/>
    </row>
    <row r="20" spans="1:35" ht="17.25" customHeight="1">
      <c r="A20" s="81" t="s">
        <v>54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</row>
    <row r="21" spans="1:35" ht="56.25">
      <c r="A21" s="59">
        <v>1</v>
      </c>
      <c r="B21" s="60" t="s">
        <v>55</v>
      </c>
      <c r="C21" s="61" t="str">
        <f ca="1" t="shared" si="0" ref="C21:C28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Разборка покрытий кровель: из волнистых и полуволнистых асбестоцементных листов
100 м2 покрытия
11668 руб. НР 84%=110%*(0,85*0,9) от ФОТ (13890 руб.)
6667 руб.СП 48%=70%*(0,8*0,85) от ФОТ (13890 руб.)
</v>
      </c>
      <c r="D21" s="62" t="s">
        <v>56</v>
      </c>
      <c r="E21" s="63" t="s">
        <v>57</v>
      </c>
      <c r="F21" s="63">
        <v>30.64</v>
      </c>
      <c r="G21" s="63"/>
      <c r="H21" s="64" t="s">
        <v>58</v>
      </c>
      <c r="I21" s="65">
        <v>14556</v>
      </c>
      <c r="J21" s="63">
        <v>13890</v>
      </c>
      <c r="K21" s="63">
        <v>666</v>
      </c>
      <c r="L21" s="63" t="str">
        <f>IF(7.3008*0=0," ",TEXT(,ROUND((7.3008*0*1),2)))</f>
        <v> </v>
      </c>
      <c r="M21" s="63">
        <v>15.9</v>
      </c>
      <c r="N21" s="63">
        <v>116.08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 t="s">
        <v>59</v>
      </c>
      <c r="AB21" s="67" t="s">
        <v>60</v>
      </c>
      <c r="AC21" s="67">
        <v>11668</v>
      </c>
      <c r="AD21" s="67">
        <v>6667</v>
      </c>
      <c r="AE21" s="67"/>
      <c r="AF21" s="68" t="s">
        <v>61</v>
      </c>
      <c r="AG21" s="67" t="s">
        <v>62</v>
      </c>
      <c r="AH21" s="67"/>
      <c r="AI21" s="67">
        <f>13890+0</f>
        <v>13890</v>
      </c>
    </row>
    <row r="22" spans="1:35" ht="56.25">
      <c r="A22" s="59">
        <v>2</v>
      </c>
      <c r="B22" s="60" t="s">
        <v>63</v>
      </c>
      <c r="C22" s="61" t="str">
        <f ca="1" t="shared" si="0"/>
        <v>Разборка мелких покрытий и обделок из листовой стали: поясков, сандриков, желобов, отливов, свесов и т.п.
100 м труб и покрытий
121 руб. НР 71%=83%*0,85 от ФОТ (171 руб.)
89 руб.СП 52%=65%*0,8 от ФОТ (171 руб.)
</v>
      </c>
      <c r="D22" s="62" t="s">
        <v>64</v>
      </c>
      <c r="E22" s="63" t="s">
        <v>65</v>
      </c>
      <c r="F22" s="63">
        <v>0.2</v>
      </c>
      <c r="G22" s="63"/>
      <c r="H22" s="64" t="s">
        <v>66</v>
      </c>
      <c r="I22" s="65">
        <v>171</v>
      </c>
      <c r="J22" s="63">
        <v>171</v>
      </c>
      <c r="K22" s="63"/>
      <c r="L22" s="63" t="str">
        <f>IF(0.15715*0=0," ",TEXT(,ROUND((0.15715*0*1),2)))</f>
        <v> </v>
      </c>
      <c r="M22" s="63">
        <v>9.1</v>
      </c>
      <c r="N22" s="63">
        <v>1.43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 t="s">
        <v>67</v>
      </c>
      <c r="AB22" s="67" t="s">
        <v>68</v>
      </c>
      <c r="AC22" s="67">
        <v>121</v>
      </c>
      <c r="AD22" s="67">
        <v>89</v>
      </c>
      <c r="AE22" s="67"/>
      <c r="AF22" s="68" t="s">
        <v>69</v>
      </c>
      <c r="AG22" s="67" t="s">
        <v>70</v>
      </c>
      <c r="AH22" s="67"/>
      <c r="AI22" s="67">
        <f>171+0</f>
        <v>171</v>
      </c>
    </row>
    <row r="23" spans="1:35" ht="56.25">
      <c r="A23" s="59">
        <v>3</v>
      </c>
      <c r="B23" s="60" t="s">
        <v>71</v>
      </c>
      <c r="C23" s="61" t="str">
        <f ca="1" t="shared" si="0"/>
        <v>Разборка деревянных элементов конструкций крыш: обрешетки из брусков с прозорами
100 м2 кровли
9900 руб. НР 71%=83%*0,85 от ФОТ (13944 руб.)
7251 руб.СП 52%=65%*0,8 от ФОТ (13944 руб.)
</v>
      </c>
      <c r="D23" s="62" t="s">
        <v>72</v>
      </c>
      <c r="E23" s="63" t="s">
        <v>73</v>
      </c>
      <c r="F23" s="63" t="s">
        <v>74</v>
      </c>
      <c r="G23" s="63"/>
      <c r="H23" s="64" t="s">
        <v>75</v>
      </c>
      <c r="I23" s="65">
        <v>16524</v>
      </c>
      <c r="J23" s="63">
        <v>13260</v>
      </c>
      <c r="K23" s="63" t="s">
        <v>76</v>
      </c>
      <c r="L23" s="63" t="str">
        <f>IF(7.181*0=0," ",TEXT(,ROUND((7.181*0*1),2)))</f>
        <v> </v>
      </c>
      <c r="M23" s="63" t="s">
        <v>77</v>
      </c>
      <c r="N23" s="63" t="s">
        <v>78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7" t="s">
        <v>67</v>
      </c>
      <c r="AB23" s="67" t="s">
        <v>68</v>
      </c>
      <c r="AC23" s="67">
        <v>9900</v>
      </c>
      <c r="AD23" s="67">
        <v>7251</v>
      </c>
      <c r="AE23" s="67"/>
      <c r="AF23" s="68" t="s">
        <v>79</v>
      </c>
      <c r="AG23" s="67" t="s">
        <v>80</v>
      </c>
      <c r="AH23" s="67"/>
      <c r="AI23" s="67">
        <f>13260+684</f>
        <v>13944</v>
      </c>
    </row>
    <row r="24" spans="1:35" ht="101.25">
      <c r="A24" s="59">
        <v>4</v>
      </c>
      <c r="B24" s="60" t="s">
        <v>81</v>
      </c>
      <c r="C24" s="61" t="str">
        <f ca="1" t="shared" si="0"/>
        <v>Демонтаж мауэрлата, подстропильной системы, стропильной системы, конькового элемента
1 м3 древесины в конструкции
КОЭФ. К ПОЗИЦИИ:
Демонтаж (разборка) сборных деревянных конструкций ОЗП=0,8; ЭМ=0,8 к расх.; ЗПМ=0,64; МАТ=0 к расх.; ТЗ=0,8; ТЗМ=0,64
6965 руб. НР 90%=118%*(0,85*0,9) от ФОТ (7739 руб.)
3328 руб.СП 43%=63%*(0,8*0,85) от ФОТ (7739 руб.)
</v>
      </c>
      <c r="D24" s="62">
        <v>3.125</v>
      </c>
      <c r="E24" s="63" t="s">
        <v>82</v>
      </c>
      <c r="F24" s="63" t="s">
        <v>83</v>
      </c>
      <c r="G24" s="63"/>
      <c r="H24" s="64" t="s">
        <v>84</v>
      </c>
      <c r="I24" s="65">
        <v>8590</v>
      </c>
      <c r="J24" s="63">
        <v>7677</v>
      </c>
      <c r="K24" s="63" t="s">
        <v>85</v>
      </c>
      <c r="L24" s="63" t="str">
        <f>IF(3.125*0=0," ",TEXT(,ROUND((3.125*0*3.28),2)))</f>
        <v> </v>
      </c>
      <c r="M24" s="63" t="s">
        <v>86</v>
      </c>
      <c r="N24" s="63" t="s">
        <v>87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 t="s">
        <v>88</v>
      </c>
      <c r="AB24" s="67" t="s">
        <v>89</v>
      </c>
      <c r="AC24" s="67">
        <v>6965</v>
      </c>
      <c r="AD24" s="67">
        <v>3328</v>
      </c>
      <c r="AE24" s="69" t="s">
        <v>90</v>
      </c>
      <c r="AF24" s="68" t="s">
        <v>91</v>
      </c>
      <c r="AG24" s="67" t="s">
        <v>92</v>
      </c>
      <c r="AH24" s="67"/>
      <c r="AI24" s="67">
        <f>7677+62</f>
        <v>7739</v>
      </c>
    </row>
    <row r="25" spans="1:35" ht="45">
      <c r="A25" s="59">
        <v>5</v>
      </c>
      <c r="B25" s="60" t="s">
        <v>93</v>
      </c>
      <c r="C25" s="61" t="str">
        <f ca="1" t="shared" si="0"/>
        <v>Разборка слуховых окон: прямоугольных двускатных
100 окон
886 руб. НР 71%=83%*0,85 от ФОТ (1248 руб.)
649 руб.СП 52%=65%*0,8 от ФОТ (1248 руб.)
</v>
      </c>
      <c r="D25" s="62" t="s">
        <v>94</v>
      </c>
      <c r="E25" s="63" t="s">
        <v>95</v>
      </c>
      <c r="F25" s="63">
        <v>10.37</v>
      </c>
      <c r="G25" s="63"/>
      <c r="H25" s="64" t="s">
        <v>96</v>
      </c>
      <c r="I25" s="65">
        <v>1249</v>
      </c>
      <c r="J25" s="63">
        <v>1248</v>
      </c>
      <c r="K25" s="63">
        <v>1</v>
      </c>
      <c r="L25" s="63" t="str">
        <f>IF(0.03*0=0," ",TEXT(,ROUND((0.03*0*1),2)))</f>
        <v> </v>
      </c>
      <c r="M25" s="63">
        <v>341.3</v>
      </c>
      <c r="N25" s="63">
        <v>10.24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 t="s">
        <v>67</v>
      </c>
      <c r="AB25" s="67" t="s">
        <v>68</v>
      </c>
      <c r="AC25" s="67">
        <v>886</v>
      </c>
      <c r="AD25" s="67">
        <v>649</v>
      </c>
      <c r="AE25" s="67"/>
      <c r="AF25" s="68" t="s">
        <v>97</v>
      </c>
      <c r="AG25" s="67" t="s">
        <v>98</v>
      </c>
      <c r="AH25" s="67"/>
      <c r="AI25" s="67">
        <f>1248+0</f>
        <v>1248</v>
      </c>
    </row>
    <row r="26" spans="1:35" ht="45">
      <c r="A26" s="59">
        <v>6</v>
      </c>
      <c r="B26" s="60" t="s">
        <v>99</v>
      </c>
      <c r="C26" s="61" t="str">
        <f ca="1" t="shared" si="0"/>
        <v>Демонтаж люка выход на кровлю
100 коробок
231 руб. НР 70%=82%*0,85 от ФОТ (330 руб.)
165 руб.СП 50%=62%*0,8 от ФОТ (330 руб.)
</v>
      </c>
      <c r="D26" s="62" t="s">
        <v>100</v>
      </c>
      <c r="E26" s="63" t="s">
        <v>101</v>
      </c>
      <c r="F26" s="63" t="s">
        <v>102</v>
      </c>
      <c r="G26" s="63"/>
      <c r="H26" s="64" t="s">
        <v>103</v>
      </c>
      <c r="I26" s="65">
        <v>346</v>
      </c>
      <c r="J26" s="63">
        <v>323</v>
      </c>
      <c r="K26" s="63" t="s">
        <v>104</v>
      </c>
      <c r="L26" s="63" t="str">
        <f>IF(0.02*0=0," ",TEXT(,ROUND((0.02*0*1),2)))</f>
        <v> </v>
      </c>
      <c r="M26" s="63" t="s">
        <v>105</v>
      </c>
      <c r="N26" s="63" t="s">
        <v>106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 t="s">
        <v>107</v>
      </c>
      <c r="AB26" s="67" t="s">
        <v>108</v>
      </c>
      <c r="AC26" s="67">
        <v>231</v>
      </c>
      <c r="AD26" s="67">
        <v>165</v>
      </c>
      <c r="AE26" s="67"/>
      <c r="AF26" s="68" t="s">
        <v>109</v>
      </c>
      <c r="AG26" s="67" t="s">
        <v>110</v>
      </c>
      <c r="AH26" s="67"/>
      <c r="AI26" s="67">
        <f>323+7</f>
        <v>330</v>
      </c>
    </row>
    <row r="27" spans="1:35" ht="56.25">
      <c r="A27" s="59">
        <v>7</v>
      </c>
      <c r="B27" s="60" t="s">
        <v>111</v>
      </c>
      <c r="C27" s="61" t="str">
        <f ca="1" t="shared" si="0"/>
        <v>Разборка трубопроводов из чугунных канализационных труб диаметром: 100 мм
100 м трубопровода с фасонными частями
527 руб. НР 63%=74%*0,85 от ФОТ (836 руб.)
334 руб.СП 40%=50%*0,8 от ФОТ (836 руб.)
</v>
      </c>
      <c r="D27" s="62" t="s">
        <v>112</v>
      </c>
      <c r="E27" s="63" t="s">
        <v>113</v>
      </c>
      <c r="F27" s="63" t="s">
        <v>114</v>
      </c>
      <c r="G27" s="63"/>
      <c r="H27" s="64" t="s">
        <v>115</v>
      </c>
      <c r="I27" s="65">
        <v>838</v>
      </c>
      <c r="J27" s="63">
        <v>832</v>
      </c>
      <c r="K27" s="63" t="s">
        <v>116</v>
      </c>
      <c r="L27" s="63" t="str">
        <f>IF(0.0752*0=0," ",TEXT(,ROUND((0.0752*0*1),2)))</f>
        <v> </v>
      </c>
      <c r="M27" s="63" t="s">
        <v>117</v>
      </c>
      <c r="N27" s="63" t="s">
        <v>118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 t="s">
        <v>119</v>
      </c>
      <c r="AB27" s="67" t="s">
        <v>120</v>
      </c>
      <c r="AC27" s="67">
        <v>527</v>
      </c>
      <c r="AD27" s="67">
        <v>334</v>
      </c>
      <c r="AE27" s="67"/>
      <c r="AF27" s="68" t="s">
        <v>121</v>
      </c>
      <c r="AG27" s="67" t="s">
        <v>122</v>
      </c>
      <c r="AH27" s="67"/>
      <c r="AI27" s="67">
        <f>832+4</f>
        <v>836</v>
      </c>
    </row>
    <row r="28" spans="1:35" ht="45">
      <c r="A28" s="59">
        <v>8</v>
      </c>
      <c r="B28" s="60" t="s">
        <v>123</v>
      </c>
      <c r="C28" s="61" t="str">
        <f ca="1" t="shared" si="0"/>
        <v>Разборка: кирпичных стен
1 м3
7777 руб. НР 84%=110%*(0,85*0,9) от ФОТ (9258 руб.)
4444 руб.СП 48%=70%*(0,8*0,85) от ФОТ (9258 руб.)
</v>
      </c>
      <c r="D28" s="62">
        <v>7.136</v>
      </c>
      <c r="E28" s="63" t="s">
        <v>124</v>
      </c>
      <c r="F28" s="63" t="s">
        <v>125</v>
      </c>
      <c r="G28" s="63"/>
      <c r="H28" s="64" t="s">
        <v>126</v>
      </c>
      <c r="I28" s="65">
        <v>14200</v>
      </c>
      <c r="J28" s="63">
        <v>7992</v>
      </c>
      <c r="K28" s="63" t="s">
        <v>127</v>
      </c>
      <c r="L28" s="63" t="str">
        <f>IF(7.136*0=0," ",TEXT(,ROUND((7.136*0*1),2)))</f>
        <v> </v>
      </c>
      <c r="M28" s="63" t="s">
        <v>128</v>
      </c>
      <c r="N28" s="63" t="s">
        <v>129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 t="s">
        <v>59</v>
      </c>
      <c r="AB28" s="67" t="s">
        <v>60</v>
      </c>
      <c r="AC28" s="67">
        <v>7777</v>
      </c>
      <c r="AD28" s="67">
        <v>4444</v>
      </c>
      <c r="AE28" s="67"/>
      <c r="AF28" s="68" t="s">
        <v>130</v>
      </c>
      <c r="AG28" s="67" t="s">
        <v>131</v>
      </c>
      <c r="AH28" s="67"/>
      <c r="AI28" s="67">
        <f>7992+1266</f>
        <v>9258</v>
      </c>
    </row>
    <row r="29" spans="1:35" ht="17.25" customHeight="1">
      <c r="A29" s="84" t="s">
        <v>132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</row>
    <row r="30" spans="1:35" ht="140.25">
      <c r="A30" s="59">
        <v>9</v>
      </c>
      <c r="B30" s="60" t="s">
        <v>133</v>
      </c>
      <c r="C3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Погрузочные работы при автомобильных перевозках: мусора строительного с погрузкой вручную
1 т груза
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
</v>
      </c>
      <c r="D30" s="62">
        <v>7.85</v>
      </c>
      <c r="E30" s="63" t="s">
        <v>134</v>
      </c>
      <c r="F30" s="63"/>
      <c r="G30" s="63"/>
      <c r="H30" s="64" t="s">
        <v>135</v>
      </c>
      <c r="I30" s="65">
        <v>4057</v>
      </c>
      <c r="J30" s="63">
        <v>4057</v>
      </c>
      <c r="K30" s="63"/>
      <c r="L30" s="63" t="str">
        <f>IF(7.85*0=0," ",TEXT(,ROUND((7.85*0*1),2)))</f>
        <v> </v>
      </c>
      <c r="M30" s="63"/>
      <c r="N30" s="63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 t="s">
        <v>136</v>
      </c>
      <c r="AB30" s="67" t="s">
        <v>137</v>
      </c>
      <c r="AC30" s="67"/>
      <c r="AD30" s="67"/>
      <c r="AE30" s="69" t="s">
        <v>138</v>
      </c>
      <c r="AF30" s="68" t="s">
        <v>139</v>
      </c>
      <c r="AG30" s="67" t="s">
        <v>140</v>
      </c>
      <c r="AH30" s="67"/>
      <c r="AI30" s="67">
        <f>4057+0</f>
        <v>4057</v>
      </c>
    </row>
    <row r="31" spans="1:35" ht="140.25">
      <c r="A31" s="59">
        <v>10</v>
      </c>
      <c r="B31" s="60" t="s">
        <v>141</v>
      </c>
      <c r="C3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Погрузочные работы при автомобильных перевозках: мусора строительного с погрузкой экскаваторами емкостью ковша до 0,5 м3
1 т груза
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
</v>
      </c>
      <c r="D31" s="62">
        <v>44.51</v>
      </c>
      <c r="E31" s="63">
        <v>4.41</v>
      </c>
      <c r="F31" s="63">
        <v>4.41</v>
      </c>
      <c r="G31" s="63"/>
      <c r="H31" s="64" t="s">
        <v>142</v>
      </c>
      <c r="I31" s="65">
        <v>2135</v>
      </c>
      <c r="J31" s="63"/>
      <c r="K31" s="63">
        <v>2135</v>
      </c>
      <c r="L31" s="63" t="str">
        <f>IF(44.51*0=0," ",TEXT(,ROUND((44.51*0*1),2)))</f>
        <v> </v>
      </c>
      <c r="M31" s="63"/>
      <c r="N31" s="63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7" t="s">
        <v>136</v>
      </c>
      <c r="AB31" s="67" t="s">
        <v>137</v>
      </c>
      <c r="AC31" s="67"/>
      <c r="AD31" s="67"/>
      <c r="AE31" s="69" t="s">
        <v>138</v>
      </c>
      <c r="AF31" s="68" t="s">
        <v>143</v>
      </c>
      <c r="AG31" s="67" t="s">
        <v>140</v>
      </c>
      <c r="AH31" s="67"/>
      <c r="AI31" s="67">
        <f>0+0</f>
        <v>0</v>
      </c>
    </row>
    <row r="32" spans="1:35" ht="165.75">
      <c r="A32" s="59">
        <v>11</v>
      </c>
      <c r="B32" s="60" t="s">
        <v>144</v>
      </c>
      <c r="C3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грузов автомобилями-самосвалами грузоподъемностью 10 т, работающих вне карьера, на расстояние: до 10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32" s="62">
        <v>52.36</v>
      </c>
      <c r="E32" s="63">
        <v>14.28</v>
      </c>
      <c r="F32" s="63">
        <v>14.28</v>
      </c>
      <c r="G32" s="63"/>
      <c r="H32" s="64" t="s">
        <v>145</v>
      </c>
      <c r="I32" s="65">
        <v>6069</v>
      </c>
      <c r="J32" s="63"/>
      <c r="K32" s="63">
        <v>6069</v>
      </c>
      <c r="L32" s="63" t="str">
        <f>IF(52.36*0=0," ",TEXT(,ROUND((52.36*0*1),2)))</f>
        <v> </v>
      </c>
      <c r="M32" s="63"/>
      <c r="N32" s="63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 t="s">
        <v>136</v>
      </c>
      <c r="AB32" s="67" t="s">
        <v>137</v>
      </c>
      <c r="AC32" s="67"/>
      <c r="AD32" s="67"/>
      <c r="AE32" s="69" t="s">
        <v>146</v>
      </c>
      <c r="AF32" s="68" t="s">
        <v>147</v>
      </c>
      <c r="AG32" s="67" t="s">
        <v>140</v>
      </c>
      <c r="AH32" s="67"/>
      <c r="AI32" s="67">
        <f>0+0</f>
        <v>0</v>
      </c>
    </row>
    <row r="33" spans="1:32" ht="22.5">
      <c r="A33" s="80" t="s">
        <v>148</v>
      </c>
      <c r="B33" s="79"/>
      <c r="C33" s="79"/>
      <c r="D33" s="79"/>
      <c r="E33" s="79"/>
      <c r="F33" s="79"/>
      <c r="G33" s="79"/>
      <c r="H33" s="79"/>
      <c r="I33" s="65">
        <v>68735</v>
      </c>
      <c r="J33" s="63">
        <v>49450</v>
      </c>
      <c r="K33" s="63" t="s">
        <v>149</v>
      </c>
      <c r="L33" s="63"/>
      <c r="M33" s="63"/>
      <c r="N33" s="63" t="s">
        <v>150</v>
      </c>
      <c r="O33" s="9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F33" s="11"/>
    </row>
    <row r="34" spans="1:32" ht="18">
      <c r="A34" s="80" t="s">
        <v>151</v>
      </c>
      <c r="B34" s="79"/>
      <c r="C34" s="79"/>
      <c r="D34" s="79"/>
      <c r="E34" s="79"/>
      <c r="F34" s="79"/>
      <c r="G34" s="79"/>
      <c r="H34" s="79"/>
      <c r="I34" s="65">
        <v>38075</v>
      </c>
      <c r="J34" s="63"/>
      <c r="K34" s="63"/>
      <c r="L34" s="63"/>
      <c r="M34" s="63"/>
      <c r="N34" s="63"/>
      <c r="O34" s="9"/>
      <c r="P34" s="10"/>
      <c r="Q34" s="9"/>
      <c r="R34" s="9"/>
      <c r="S34" s="9"/>
      <c r="T34" s="9"/>
      <c r="U34" s="9"/>
      <c r="V34" s="9"/>
      <c r="W34" s="9"/>
      <c r="X34" s="9"/>
      <c r="Y34" s="9"/>
      <c r="Z34" s="9"/>
      <c r="AF34" s="11"/>
    </row>
    <row r="35" spans="1:26" ht="12.75">
      <c r="A35" s="80" t="s">
        <v>152</v>
      </c>
      <c r="B35" s="79"/>
      <c r="C35" s="79"/>
      <c r="D35" s="79"/>
      <c r="E35" s="79"/>
      <c r="F35" s="79"/>
      <c r="G35" s="79"/>
      <c r="H35" s="79"/>
      <c r="I35" s="65"/>
      <c r="J35" s="63"/>
      <c r="K35" s="63"/>
      <c r="L35" s="63"/>
      <c r="M35" s="63"/>
      <c r="N35" s="63"/>
      <c r="O35" s="9"/>
      <c r="P35" s="10"/>
      <c r="Q35" s="9"/>
      <c r="R35" s="9"/>
      <c r="S35" s="9"/>
      <c r="T35" s="7"/>
      <c r="U35" s="7"/>
      <c r="V35" s="7"/>
      <c r="W35" s="7"/>
      <c r="X35" s="7"/>
      <c r="Y35" s="7"/>
      <c r="Z35" s="7"/>
    </row>
    <row r="36" spans="1:19" ht="12.75">
      <c r="A36" s="80" t="s">
        <v>153</v>
      </c>
      <c r="B36" s="79"/>
      <c r="C36" s="79"/>
      <c r="D36" s="79"/>
      <c r="E36" s="79"/>
      <c r="F36" s="79"/>
      <c r="G36" s="79"/>
      <c r="H36" s="79"/>
      <c r="I36" s="65">
        <v>527</v>
      </c>
      <c r="J36" s="63"/>
      <c r="K36" s="63"/>
      <c r="L36" s="63"/>
      <c r="M36" s="63"/>
      <c r="N36" s="63"/>
      <c r="O36" s="9"/>
      <c r="P36" s="10"/>
      <c r="Q36" s="9"/>
      <c r="R36" s="9"/>
      <c r="S36" s="9"/>
    </row>
    <row r="37" spans="1:19" ht="12.75">
      <c r="A37" s="80" t="s">
        <v>154</v>
      </c>
      <c r="B37" s="79"/>
      <c r="C37" s="79"/>
      <c r="D37" s="79"/>
      <c r="E37" s="79"/>
      <c r="F37" s="79"/>
      <c r="G37" s="79"/>
      <c r="H37" s="79"/>
      <c r="I37" s="65">
        <v>231</v>
      </c>
      <c r="J37" s="63"/>
      <c r="K37" s="63"/>
      <c r="L37" s="63"/>
      <c r="M37" s="63"/>
      <c r="N37" s="63"/>
      <c r="O37" s="9"/>
      <c r="P37" s="10"/>
      <c r="Q37" s="9"/>
      <c r="R37" s="9"/>
      <c r="S37" s="9"/>
    </row>
    <row r="38" spans="1:19" ht="12.75">
      <c r="A38" s="80" t="s">
        <v>155</v>
      </c>
      <c r="B38" s="79"/>
      <c r="C38" s="79"/>
      <c r="D38" s="79"/>
      <c r="E38" s="79"/>
      <c r="F38" s="79"/>
      <c r="G38" s="79"/>
      <c r="H38" s="79"/>
      <c r="I38" s="65">
        <v>10908</v>
      </c>
      <c r="J38" s="63"/>
      <c r="K38" s="63"/>
      <c r="L38" s="63"/>
      <c r="M38" s="63"/>
      <c r="N38" s="63"/>
      <c r="O38" s="9"/>
      <c r="P38" s="10"/>
      <c r="Q38" s="9"/>
      <c r="R38" s="9"/>
      <c r="S38" s="9"/>
    </row>
    <row r="39" spans="1:19" ht="12.75">
      <c r="A39" s="80" t="s">
        <v>156</v>
      </c>
      <c r="B39" s="79"/>
      <c r="C39" s="79"/>
      <c r="D39" s="79"/>
      <c r="E39" s="79"/>
      <c r="F39" s="79"/>
      <c r="G39" s="79"/>
      <c r="H39" s="79"/>
      <c r="I39" s="65">
        <v>19444</v>
      </c>
      <c r="J39" s="63"/>
      <c r="K39" s="63"/>
      <c r="L39" s="63"/>
      <c r="M39" s="63"/>
      <c r="N39" s="63"/>
      <c r="O39" s="9"/>
      <c r="P39" s="10"/>
      <c r="Q39" s="9"/>
      <c r="R39" s="9"/>
      <c r="S39" s="9"/>
    </row>
    <row r="40" spans="1:19" ht="12.75">
      <c r="A40" s="80" t="s">
        <v>157</v>
      </c>
      <c r="B40" s="79"/>
      <c r="C40" s="79"/>
      <c r="D40" s="79"/>
      <c r="E40" s="79"/>
      <c r="F40" s="79"/>
      <c r="G40" s="79"/>
      <c r="H40" s="79"/>
      <c r="I40" s="65">
        <v>6965</v>
      </c>
      <c r="J40" s="63"/>
      <c r="K40" s="63"/>
      <c r="L40" s="63"/>
      <c r="M40" s="63"/>
      <c r="N40" s="63"/>
      <c r="O40" s="9"/>
      <c r="P40" s="10"/>
      <c r="Q40" s="9"/>
      <c r="R40" s="9"/>
      <c r="S40" s="9"/>
    </row>
    <row r="41" spans="1:19" ht="12.75">
      <c r="A41" s="80" t="s">
        <v>158</v>
      </c>
      <c r="B41" s="79"/>
      <c r="C41" s="79"/>
      <c r="D41" s="79"/>
      <c r="E41" s="79"/>
      <c r="F41" s="79"/>
      <c r="G41" s="79"/>
      <c r="H41" s="79"/>
      <c r="I41" s="65">
        <v>22927</v>
      </c>
      <c r="J41" s="63"/>
      <c r="K41" s="63"/>
      <c r="L41" s="63"/>
      <c r="M41" s="63"/>
      <c r="N41" s="63"/>
      <c r="O41" s="9"/>
      <c r="P41" s="10"/>
      <c r="Q41" s="9"/>
      <c r="R41" s="9"/>
      <c r="S41" s="9"/>
    </row>
    <row r="42" spans="1:19" ht="12.75">
      <c r="A42" s="80" t="s">
        <v>152</v>
      </c>
      <c r="B42" s="79"/>
      <c r="C42" s="79"/>
      <c r="D42" s="79"/>
      <c r="E42" s="79"/>
      <c r="F42" s="79"/>
      <c r="G42" s="79"/>
      <c r="H42" s="79"/>
      <c r="I42" s="65"/>
      <c r="J42" s="63"/>
      <c r="K42" s="63"/>
      <c r="L42" s="63"/>
      <c r="M42" s="63"/>
      <c r="N42" s="63"/>
      <c r="O42" s="9"/>
      <c r="P42" s="10"/>
      <c r="Q42" s="9"/>
      <c r="R42" s="9"/>
      <c r="S42" s="9"/>
    </row>
    <row r="43" spans="1:19" ht="12.75">
      <c r="A43" s="80" t="s">
        <v>159</v>
      </c>
      <c r="B43" s="79"/>
      <c r="C43" s="79"/>
      <c r="D43" s="79"/>
      <c r="E43" s="79"/>
      <c r="F43" s="79"/>
      <c r="G43" s="79"/>
      <c r="H43" s="79"/>
      <c r="I43" s="65">
        <v>334</v>
      </c>
      <c r="J43" s="63"/>
      <c r="K43" s="63"/>
      <c r="L43" s="63"/>
      <c r="M43" s="63"/>
      <c r="N43" s="63"/>
      <c r="O43" s="9"/>
      <c r="P43" s="10"/>
      <c r="Q43" s="9"/>
      <c r="R43" s="9"/>
      <c r="S43" s="9"/>
    </row>
    <row r="44" spans="1:19" ht="12.75">
      <c r="A44" s="80" t="s">
        <v>160</v>
      </c>
      <c r="B44" s="79"/>
      <c r="C44" s="79"/>
      <c r="D44" s="79"/>
      <c r="E44" s="79"/>
      <c r="F44" s="79"/>
      <c r="G44" s="79"/>
      <c r="H44" s="79"/>
      <c r="I44" s="65">
        <v>165</v>
      </c>
      <c r="J44" s="63"/>
      <c r="K44" s="63"/>
      <c r="L44" s="63"/>
      <c r="M44" s="63"/>
      <c r="N44" s="63"/>
      <c r="O44" s="9"/>
      <c r="P44" s="10"/>
      <c r="Q44" s="9"/>
      <c r="R44" s="9"/>
      <c r="S44" s="9"/>
    </row>
    <row r="45" spans="1:19" ht="12.75">
      <c r="A45" s="80" t="s">
        <v>161</v>
      </c>
      <c r="B45" s="79"/>
      <c r="C45" s="79"/>
      <c r="D45" s="79"/>
      <c r="E45" s="79"/>
      <c r="F45" s="79"/>
      <c r="G45" s="79"/>
      <c r="H45" s="79"/>
      <c r="I45" s="65">
        <v>3328</v>
      </c>
      <c r="J45" s="63"/>
      <c r="K45" s="63"/>
      <c r="L45" s="63"/>
      <c r="M45" s="63"/>
      <c r="N45" s="63"/>
      <c r="O45" s="9"/>
      <c r="P45" s="10"/>
      <c r="Q45" s="9"/>
      <c r="R45" s="9"/>
      <c r="S45" s="9"/>
    </row>
    <row r="46" spans="1:19" ht="12.75">
      <c r="A46" s="80" t="s">
        <v>162</v>
      </c>
      <c r="B46" s="79"/>
      <c r="C46" s="79"/>
      <c r="D46" s="79"/>
      <c r="E46" s="79"/>
      <c r="F46" s="79"/>
      <c r="G46" s="79"/>
      <c r="H46" s="79"/>
      <c r="I46" s="65">
        <v>7989</v>
      </c>
      <c r="J46" s="63"/>
      <c r="K46" s="63"/>
      <c r="L46" s="63"/>
      <c r="M46" s="63"/>
      <c r="N46" s="63"/>
      <c r="O46" s="9"/>
      <c r="P46" s="10"/>
      <c r="Q46" s="9"/>
      <c r="R46" s="9"/>
      <c r="S46" s="9"/>
    </row>
    <row r="47" spans="1:19" ht="12.75">
      <c r="A47" s="80" t="s">
        <v>163</v>
      </c>
      <c r="B47" s="79"/>
      <c r="C47" s="79"/>
      <c r="D47" s="79"/>
      <c r="E47" s="79"/>
      <c r="F47" s="79"/>
      <c r="G47" s="79"/>
      <c r="H47" s="79"/>
      <c r="I47" s="65">
        <v>11111</v>
      </c>
      <c r="J47" s="63"/>
      <c r="K47" s="63"/>
      <c r="L47" s="63"/>
      <c r="M47" s="63"/>
      <c r="N47" s="63"/>
      <c r="O47" s="9"/>
      <c r="P47" s="10"/>
      <c r="Q47" s="9"/>
      <c r="R47" s="9"/>
      <c r="S47" s="9"/>
    </row>
    <row r="48" spans="1:19" ht="12.75">
      <c r="A48" s="81" t="s">
        <v>164</v>
      </c>
      <c r="B48" s="77"/>
      <c r="C48" s="77"/>
      <c r="D48" s="77"/>
      <c r="E48" s="77"/>
      <c r="F48" s="77"/>
      <c r="G48" s="77"/>
      <c r="H48" s="77"/>
      <c r="I48" s="65"/>
      <c r="J48" s="63"/>
      <c r="K48" s="63"/>
      <c r="L48" s="63"/>
      <c r="M48" s="63"/>
      <c r="N48" s="63"/>
      <c r="O48" s="9"/>
      <c r="P48" s="10"/>
      <c r="Q48" s="9"/>
      <c r="R48" s="9"/>
      <c r="S48" s="9"/>
    </row>
    <row r="49" spans="1:19" ht="22.5">
      <c r="A49" s="80" t="s">
        <v>165</v>
      </c>
      <c r="B49" s="79"/>
      <c r="C49" s="79"/>
      <c r="D49" s="79"/>
      <c r="E49" s="79"/>
      <c r="F49" s="79"/>
      <c r="G49" s="79"/>
      <c r="H49" s="79"/>
      <c r="I49" s="65">
        <v>59311</v>
      </c>
      <c r="J49" s="63"/>
      <c r="K49" s="63"/>
      <c r="L49" s="63"/>
      <c r="M49" s="63"/>
      <c r="N49" s="63" t="s">
        <v>166</v>
      </c>
      <c r="O49" s="9"/>
      <c r="P49" s="10"/>
      <c r="Q49" s="9"/>
      <c r="R49" s="9"/>
      <c r="S49" s="9"/>
    </row>
    <row r="50" spans="1:19" ht="22.5">
      <c r="A50" s="80" t="s">
        <v>167</v>
      </c>
      <c r="B50" s="79"/>
      <c r="C50" s="79"/>
      <c r="D50" s="79"/>
      <c r="E50" s="79"/>
      <c r="F50" s="79"/>
      <c r="G50" s="79"/>
      <c r="H50" s="79"/>
      <c r="I50" s="65">
        <v>36841</v>
      </c>
      <c r="J50" s="63"/>
      <c r="K50" s="63"/>
      <c r="L50" s="63"/>
      <c r="M50" s="63"/>
      <c r="N50" s="63" t="s">
        <v>168</v>
      </c>
      <c r="O50" s="9"/>
      <c r="P50" s="10"/>
      <c r="Q50" s="9"/>
      <c r="R50" s="9"/>
      <c r="S50" s="9"/>
    </row>
    <row r="51" spans="1:19" ht="22.5">
      <c r="A51" s="80" t="s">
        <v>169</v>
      </c>
      <c r="B51" s="79"/>
      <c r="C51" s="79"/>
      <c r="D51" s="79"/>
      <c r="E51" s="79"/>
      <c r="F51" s="79"/>
      <c r="G51" s="79"/>
      <c r="H51" s="79"/>
      <c r="I51" s="65">
        <v>18883</v>
      </c>
      <c r="J51" s="63"/>
      <c r="K51" s="63"/>
      <c r="L51" s="63"/>
      <c r="M51" s="63"/>
      <c r="N51" s="63" t="s">
        <v>87</v>
      </c>
      <c r="O51" s="9"/>
      <c r="P51" s="10"/>
      <c r="Q51" s="9"/>
      <c r="R51" s="9"/>
      <c r="S51" s="9"/>
    </row>
    <row r="52" spans="1:19" ht="22.5">
      <c r="A52" s="80" t="s">
        <v>170</v>
      </c>
      <c r="B52" s="79"/>
      <c r="C52" s="79"/>
      <c r="D52" s="79"/>
      <c r="E52" s="79"/>
      <c r="F52" s="79"/>
      <c r="G52" s="79"/>
      <c r="H52" s="79"/>
      <c r="I52" s="65">
        <v>742</v>
      </c>
      <c r="J52" s="63"/>
      <c r="K52" s="63"/>
      <c r="L52" s="63"/>
      <c r="M52" s="63"/>
      <c r="N52" s="63" t="s">
        <v>106</v>
      </c>
      <c r="O52" s="9"/>
      <c r="P52" s="10"/>
      <c r="Q52" s="9"/>
      <c r="R52" s="9"/>
      <c r="S52" s="9"/>
    </row>
    <row r="53" spans="1:19" ht="22.5">
      <c r="A53" s="80" t="s">
        <v>171</v>
      </c>
      <c r="B53" s="79"/>
      <c r="C53" s="79"/>
      <c r="D53" s="79"/>
      <c r="E53" s="79"/>
      <c r="F53" s="79"/>
      <c r="G53" s="79"/>
      <c r="H53" s="79"/>
      <c r="I53" s="65">
        <v>1699</v>
      </c>
      <c r="J53" s="63"/>
      <c r="K53" s="63"/>
      <c r="L53" s="63"/>
      <c r="M53" s="63"/>
      <c r="N53" s="63" t="s">
        <v>118</v>
      </c>
      <c r="O53" s="9"/>
      <c r="P53" s="10"/>
      <c r="Q53" s="9"/>
      <c r="R53" s="9"/>
      <c r="S53" s="9"/>
    </row>
    <row r="54" spans="1:19" ht="12.75">
      <c r="A54" s="80" t="s">
        <v>172</v>
      </c>
      <c r="B54" s="79"/>
      <c r="C54" s="79"/>
      <c r="D54" s="79"/>
      <c r="E54" s="79"/>
      <c r="F54" s="79"/>
      <c r="G54" s="79"/>
      <c r="H54" s="79"/>
      <c r="I54" s="65">
        <v>6192</v>
      </c>
      <c r="J54" s="63"/>
      <c r="K54" s="63"/>
      <c r="L54" s="63"/>
      <c r="M54" s="63"/>
      <c r="N54" s="63"/>
      <c r="O54" s="9"/>
      <c r="P54" s="10"/>
      <c r="Q54" s="9"/>
      <c r="R54" s="9"/>
      <c r="S54" s="9"/>
    </row>
    <row r="55" spans="1:19" ht="12.75">
      <c r="A55" s="80" t="s">
        <v>173</v>
      </c>
      <c r="B55" s="79"/>
      <c r="C55" s="79"/>
      <c r="D55" s="79"/>
      <c r="E55" s="79"/>
      <c r="F55" s="79"/>
      <c r="G55" s="79"/>
      <c r="H55" s="79"/>
      <c r="I55" s="65">
        <v>6069</v>
      </c>
      <c r="J55" s="63"/>
      <c r="K55" s="63"/>
      <c r="L55" s="63"/>
      <c r="M55" s="63"/>
      <c r="N55" s="63"/>
      <c r="O55" s="9"/>
      <c r="P55" s="10"/>
      <c r="Q55" s="9"/>
      <c r="R55" s="9"/>
      <c r="S55" s="9"/>
    </row>
    <row r="56" spans="1:19" ht="22.5">
      <c r="A56" s="80" t="s">
        <v>174</v>
      </c>
      <c r="B56" s="79"/>
      <c r="C56" s="79"/>
      <c r="D56" s="79"/>
      <c r="E56" s="79"/>
      <c r="F56" s="79"/>
      <c r="G56" s="79"/>
      <c r="H56" s="79"/>
      <c r="I56" s="65">
        <v>129737</v>
      </c>
      <c r="J56" s="63"/>
      <c r="K56" s="63"/>
      <c r="L56" s="63"/>
      <c r="M56" s="63"/>
      <c r="N56" s="63" t="s">
        <v>150</v>
      </c>
      <c r="O56" s="9"/>
      <c r="P56" s="10"/>
      <c r="Q56" s="9"/>
      <c r="R56" s="9"/>
      <c r="S56" s="9"/>
    </row>
    <row r="57" spans="1:19" ht="12.75">
      <c r="A57" s="80" t="s">
        <v>175</v>
      </c>
      <c r="B57" s="79"/>
      <c r="C57" s="79"/>
      <c r="D57" s="79"/>
      <c r="E57" s="79"/>
      <c r="F57" s="79"/>
      <c r="G57" s="79"/>
      <c r="H57" s="79"/>
      <c r="I57" s="65"/>
      <c r="J57" s="63"/>
      <c r="K57" s="63"/>
      <c r="L57" s="63"/>
      <c r="M57" s="63"/>
      <c r="N57" s="63"/>
      <c r="O57" s="9"/>
      <c r="P57" s="10"/>
      <c r="Q57" s="9"/>
      <c r="R57" s="9"/>
      <c r="S57" s="9"/>
    </row>
    <row r="58" spans="1:19" ht="12.75">
      <c r="A58" s="80" t="s">
        <v>176</v>
      </c>
      <c r="B58" s="79"/>
      <c r="C58" s="79"/>
      <c r="D58" s="79"/>
      <c r="E58" s="79"/>
      <c r="F58" s="79"/>
      <c r="G58" s="79"/>
      <c r="H58" s="79"/>
      <c r="I58" s="65">
        <v>19285</v>
      </c>
      <c r="J58" s="63"/>
      <c r="K58" s="63"/>
      <c r="L58" s="63"/>
      <c r="M58" s="63"/>
      <c r="N58" s="63"/>
      <c r="O58" s="9"/>
      <c r="P58" s="10"/>
      <c r="Q58" s="9"/>
      <c r="R58" s="9"/>
      <c r="S58" s="9"/>
    </row>
    <row r="59" spans="1:19" ht="12.75">
      <c r="A59" s="80" t="s">
        <v>177</v>
      </c>
      <c r="B59" s="79"/>
      <c r="C59" s="79"/>
      <c r="D59" s="79"/>
      <c r="E59" s="79"/>
      <c r="F59" s="79"/>
      <c r="G59" s="79"/>
      <c r="H59" s="79"/>
      <c r="I59" s="65">
        <v>51473</v>
      </c>
      <c r="J59" s="63"/>
      <c r="K59" s="63"/>
      <c r="L59" s="63"/>
      <c r="M59" s="63"/>
      <c r="N59" s="63"/>
      <c r="O59" s="9"/>
      <c r="P59" s="10"/>
      <c r="Q59" s="9"/>
      <c r="R59" s="9"/>
      <c r="S59" s="9"/>
    </row>
    <row r="60" spans="1:19" ht="12.75">
      <c r="A60" s="80" t="s">
        <v>178</v>
      </c>
      <c r="B60" s="79"/>
      <c r="C60" s="79"/>
      <c r="D60" s="79"/>
      <c r="E60" s="79"/>
      <c r="F60" s="79"/>
      <c r="G60" s="79"/>
      <c r="H60" s="79"/>
      <c r="I60" s="65">
        <v>38075</v>
      </c>
      <c r="J60" s="63"/>
      <c r="K60" s="63"/>
      <c r="L60" s="63"/>
      <c r="M60" s="63"/>
      <c r="N60" s="63"/>
      <c r="O60" s="9"/>
      <c r="P60" s="10"/>
      <c r="Q60" s="9"/>
      <c r="R60" s="9"/>
      <c r="S60" s="9"/>
    </row>
    <row r="61" spans="1:19" ht="12.75">
      <c r="A61" s="80" t="s">
        <v>179</v>
      </c>
      <c r="B61" s="79"/>
      <c r="C61" s="79"/>
      <c r="D61" s="79"/>
      <c r="E61" s="79"/>
      <c r="F61" s="79"/>
      <c r="G61" s="79"/>
      <c r="H61" s="79"/>
      <c r="I61" s="65">
        <v>22927</v>
      </c>
      <c r="J61" s="63"/>
      <c r="K61" s="63"/>
      <c r="L61" s="63"/>
      <c r="M61" s="63"/>
      <c r="N61" s="63"/>
      <c r="O61" s="9"/>
      <c r="P61" s="10"/>
      <c r="Q61" s="9"/>
      <c r="R61" s="9"/>
      <c r="S61" s="9"/>
    </row>
    <row r="62" spans="1:19" ht="22.5">
      <c r="A62" s="82" t="s">
        <v>180</v>
      </c>
      <c r="B62" s="83"/>
      <c r="C62" s="83"/>
      <c r="D62" s="83"/>
      <c r="E62" s="83"/>
      <c r="F62" s="83"/>
      <c r="G62" s="83"/>
      <c r="H62" s="83"/>
      <c r="I62" s="70">
        <v>129737</v>
      </c>
      <c r="J62" s="71"/>
      <c r="K62" s="71"/>
      <c r="L62" s="71"/>
      <c r="M62" s="71"/>
      <c r="N62" s="71" t="s">
        <v>150</v>
      </c>
      <c r="O62" s="9"/>
      <c r="P62" s="10"/>
      <c r="Q62" s="9"/>
      <c r="R62" s="9"/>
      <c r="S62" s="9"/>
    </row>
    <row r="63" spans="1:35" ht="17.25" customHeight="1">
      <c r="A63" s="81" t="s">
        <v>181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1:35" ht="112.5">
      <c r="A64" s="59">
        <v>12</v>
      </c>
      <c r="B64" s="60" t="s">
        <v>182</v>
      </c>
      <c r="C64" s="61" t="str">
        <f ca="1" t="shared" si="1" ref="C64:C69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Кладка из кирпича: столбов прямоугольных армированных при высоте этажа до 4 м
1 м3 кладки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179 руб. НР 93%=122%*(0,85*0,9) от ФОТ (193 руб.)
104 руб.СП 54%=80%*(0,8*0,85) от ФОТ (193 руб.)
</v>
      </c>
      <c r="D64" s="62">
        <v>0.123</v>
      </c>
      <c r="E64" s="63" t="s">
        <v>183</v>
      </c>
      <c r="F64" s="63" t="s">
        <v>184</v>
      </c>
      <c r="G64" s="63">
        <v>894.65</v>
      </c>
      <c r="H64" s="64" t="s">
        <v>185</v>
      </c>
      <c r="I64" s="65">
        <v>738</v>
      </c>
      <c r="J64" s="63">
        <v>179</v>
      </c>
      <c r="K64" s="63" t="s">
        <v>186</v>
      </c>
      <c r="L64" s="63" t="str">
        <f>IF(0.123*894.65=0," ",TEXT(,ROUND((0.123*894.65*4.44),2)))</f>
        <v>488.59</v>
      </c>
      <c r="M64" s="63" t="s">
        <v>187</v>
      </c>
      <c r="N64" s="63" t="s">
        <v>188</v>
      </c>
      <c r="O64" s="66"/>
      <c r="P64" s="66"/>
      <c r="Q64" s="66"/>
      <c r="R64" s="66"/>
      <c r="S64" s="66"/>
      <c r="T64" s="67"/>
      <c r="U64" s="67"/>
      <c r="V64" s="67"/>
      <c r="W64" s="67"/>
      <c r="X64" s="67"/>
      <c r="Y64" s="67"/>
      <c r="Z64" s="67"/>
      <c r="AA64" s="67" t="s">
        <v>189</v>
      </c>
      <c r="AB64" s="67" t="s">
        <v>190</v>
      </c>
      <c r="AC64" s="67">
        <v>179</v>
      </c>
      <c r="AD64" s="67">
        <v>104</v>
      </c>
      <c r="AE64" s="69" t="s">
        <v>191</v>
      </c>
      <c r="AF64" s="67" t="s">
        <v>192</v>
      </c>
      <c r="AG64" s="67" t="s">
        <v>193</v>
      </c>
      <c r="AH64" s="67"/>
      <c r="AI64" s="67">
        <f>179+14</f>
        <v>193</v>
      </c>
    </row>
    <row r="65" spans="1:35" ht="101.25">
      <c r="A65" s="59">
        <v>13</v>
      </c>
      <c r="B65" s="60" t="s">
        <v>194</v>
      </c>
      <c r="C65" s="61" t="str">
        <f ca="1" t="shared" si="1"/>
        <v>Установка стропил
1 м3 древесины в конструкции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14510 руб. НР 90%=118%*(0,85*0,9) от ФОТ (16122 руб.)
6932 руб.СП 43%=63%*(0,8*0,85) от ФОТ (16122 руб.)
</v>
      </c>
      <c r="D65" s="62">
        <v>4.5153</v>
      </c>
      <c r="E65" s="63" t="s">
        <v>195</v>
      </c>
      <c r="F65" s="63" t="s">
        <v>196</v>
      </c>
      <c r="G65" s="63">
        <v>2062.26</v>
      </c>
      <c r="H65" s="64" t="s">
        <v>84</v>
      </c>
      <c r="I65" s="65">
        <v>48549</v>
      </c>
      <c r="J65" s="63">
        <v>15946</v>
      </c>
      <c r="K65" s="63" t="s">
        <v>197</v>
      </c>
      <c r="L65" s="63" t="str">
        <f>IF(4.5153*2062.26=0," ",TEXT(,ROUND((4.5153*2062.26*3.28),2)))</f>
        <v>30542.45</v>
      </c>
      <c r="M65" s="63" t="s">
        <v>198</v>
      </c>
      <c r="N65" s="63" t="s">
        <v>199</v>
      </c>
      <c r="O65" s="66"/>
      <c r="P65" s="66"/>
      <c r="Q65" s="66"/>
      <c r="R65" s="66"/>
      <c r="S65" s="66"/>
      <c r="T65" s="67"/>
      <c r="U65" s="67"/>
      <c r="V65" s="67"/>
      <c r="W65" s="67"/>
      <c r="X65" s="67"/>
      <c r="Y65" s="67"/>
      <c r="Z65" s="67"/>
      <c r="AA65" s="67" t="s">
        <v>88</v>
      </c>
      <c r="AB65" s="67" t="s">
        <v>89</v>
      </c>
      <c r="AC65" s="67">
        <v>14510</v>
      </c>
      <c r="AD65" s="67">
        <v>6932</v>
      </c>
      <c r="AE65" s="69" t="s">
        <v>191</v>
      </c>
      <c r="AF65" s="67" t="s">
        <v>200</v>
      </c>
      <c r="AG65" s="67" t="s">
        <v>92</v>
      </c>
      <c r="AH65" s="67"/>
      <c r="AI65" s="67">
        <f>15946+176</f>
        <v>16122</v>
      </c>
    </row>
    <row r="66" spans="1:35" ht="45">
      <c r="A66" s="59">
        <v>14</v>
      </c>
      <c r="B66" s="60" t="s">
        <v>201</v>
      </c>
      <c r="C66" s="61" t="str">
        <f ca="1" t="shared" si="1"/>
        <v>Устройство обрешетки сплошной из досок
100 м2
7454 руб. НР 71%=83%*0,85 от ФОТ (10499 руб.)
5459 руб.СП 52%=65%*0,8 от ФОТ (10499 руб.)
</v>
      </c>
      <c r="D66" s="62" t="s">
        <v>202</v>
      </c>
      <c r="E66" s="63" t="s">
        <v>203</v>
      </c>
      <c r="F66" s="63" t="s">
        <v>204</v>
      </c>
      <c r="G66" s="63">
        <v>2198.68</v>
      </c>
      <c r="H66" s="64" t="s">
        <v>205</v>
      </c>
      <c r="I66" s="65">
        <v>41854</v>
      </c>
      <c r="J66" s="63">
        <v>10291</v>
      </c>
      <c r="K66" s="63" t="s">
        <v>206</v>
      </c>
      <c r="L66" s="63" t="str">
        <f>IF(2.6544*2198.68=0," ",TEXT(,ROUND((2.6544*2198.68*5.24),2)))</f>
        <v>30581.56</v>
      </c>
      <c r="M66" s="63" t="s">
        <v>207</v>
      </c>
      <c r="N66" s="63" t="s">
        <v>208</v>
      </c>
      <c r="O66" s="66"/>
      <c r="P66" s="66"/>
      <c r="Q66" s="66"/>
      <c r="R66" s="66"/>
      <c r="S66" s="66"/>
      <c r="T66" s="67"/>
      <c r="U66" s="67"/>
      <c r="V66" s="67"/>
      <c r="W66" s="67"/>
      <c r="X66" s="67"/>
      <c r="Y66" s="67"/>
      <c r="Z66" s="67"/>
      <c r="AA66" s="67" t="s">
        <v>67</v>
      </c>
      <c r="AB66" s="67" t="s">
        <v>68</v>
      </c>
      <c r="AC66" s="67">
        <v>7454</v>
      </c>
      <c r="AD66" s="67">
        <v>5459</v>
      </c>
      <c r="AE66" s="67"/>
      <c r="AF66" s="67" t="s">
        <v>209</v>
      </c>
      <c r="AG66" s="67" t="s">
        <v>210</v>
      </c>
      <c r="AH66" s="67"/>
      <c r="AI66" s="67">
        <f>10291+208</f>
        <v>10499</v>
      </c>
    </row>
    <row r="67" spans="1:35" ht="56.25">
      <c r="A67" s="59">
        <v>15</v>
      </c>
      <c r="B67" s="60" t="s">
        <v>211</v>
      </c>
      <c r="C67" s="61" t="str">
        <f ca="1" t="shared" si="1"/>
        <v>Устройство обрешетки с прозорами из досок и брусков под кровлю: из листовой стали
100 м2
8541 руб. НР 71%=83%*0,85 от ФОТ (12029 руб.)
6255 руб.СП 52%=65%*0,8 от ФОТ (12029 руб.)
</v>
      </c>
      <c r="D67" s="62" t="s">
        <v>212</v>
      </c>
      <c r="E67" s="63" t="s">
        <v>213</v>
      </c>
      <c r="F67" s="63" t="s">
        <v>214</v>
      </c>
      <c r="G67" s="63">
        <v>1570.73</v>
      </c>
      <c r="H67" s="64" t="s">
        <v>215</v>
      </c>
      <c r="I67" s="65">
        <v>48405</v>
      </c>
      <c r="J67" s="63">
        <v>11771</v>
      </c>
      <c r="K67" s="63" t="s">
        <v>216</v>
      </c>
      <c r="L67" s="63" t="str">
        <f>IF(4.5266*1570.73=0," ",TEXT(,ROUND((4.5266*1570.73*5),2)))</f>
        <v>35550.33</v>
      </c>
      <c r="M67" s="63" t="s">
        <v>217</v>
      </c>
      <c r="N67" s="63" t="s">
        <v>218</v>
      </c>
      <c r="O67" s="66"/>
      <c r="P67" s="66"/>
      <c r="Q67" s="66"/>
      <c r="R67" s="66"/>
      <c r="S67" s="66"/>
      <c r="T67" s="67"/>
      <c r="U67" s="67"/>
      <c r="V67" s="67"/>
      <c r="W67" s="67"/>
      <c r="X67" s="67"/>
      <c r="Y67" s="67"/>
      <c r="Z67" s="67"/>
      <c r="AA67" s="67" t="s">
        <v>67</v>
      </c>
      <c r="AB67" s="67" t="s">
        <v>68</v>
      </c>
      <c r="AC67" s="67">
        <v>8541</v>
      </c>
      <c r="AD67" s="67">
        <v>6255</v>
      </c>
      <c r="AE67" s="67"/>
      <c r="AF67" s="67" t="s">
        <v>219</v>
      </c>
      <c r="AG67" s="67" t="s">
        <v>210</v>
      </c>
      <c r="AH67" s="67"/>
      <c r="AI67" s="67">
        <f>11771+258</f>
        <v>12029</v>
      </c>
    </row>
    <row r="68" spans="1:35" ht="135">
      <c r="A68" s="59">
        <v>16</v>
      </c>
      <c r="B68" s="60" t="s">
        <v>220</v>
      </c>
      <c r="C68" s="61" t="str">
        <f ca="1" t="shared" si="1"/>
        <v>Огнебиозащитное покрытие деревянных конструкций составом "Пирилакс" любой модификации при помощи аэрозольно-капельного распыления для обеспечивания: первой группы огнезащитной эффективности по НПБ 251
100 м2 обрабатываемой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38549 руб. НР 77%=100%*(0,85*0,9) от ФОТ (50064 руб.)
24031 руб.СП 48%=70%*(0,8*0,85) от ФОТ (50064 руб.)
</v>
      </c>
      <c r="D68" s="62" t="s">
        <v>221</v>
      </c>
      <c r="E68" s="63" t="s">
        <v>222</v>
      </c>
      <c r="F68" s="63" t="s">
        <v>223</v>
      </c>
      <c r="G68" s="63">
        <v>1.84</v>
      </c>
      <c r="H68" s="64" t="s">
        <v>224</v>
      </c>
      <c r="I68" s="65">
        <v>83723</v>
      </c>
      <c r="J68" s="63">
        <v>49356</v>
      </c>
      <c r="K68" s="63" t="s">
        <v>225</v>
      </c>
      <c r="L68" s="63" t="str">
        <f>IF(22.7888*1.84=0," ",TEXT(,ROUND((22.7888*1.84*19.05),2)))</f>
        <v>798.79</v>
      </c>
      <c r="M68" s="63" t="s">
        <v>226</v>
      </c>
      <c r="N68" s="63" t="s">
        <v>227</v>
      </c>
      <c r="O68" s="66"/>
      <c r="P68" s="66"/>
      <c r="Q68" s="66"/>
      <c r="R68" s="66"/>
      <c r="S68" s="66"/>
      <c r="T68" s="67"/>
      <c r="U68" s="67"/>
      <c r="V68" s="67"/>
      <c r="W68" s="67"/>
      <c r="X68" s="67"/>
      <c r="Y68" s="67"/>
      <c r="Z68" s="67"/>
      <c r="AA68" s="67" t="s">
        <v>228</v>
      </c>
      <c r="AB68" s="67" t="s">
        <v>60</v>
      </c>
      <c r="AC68" s="67">
        <v>38549</v>
      </c>
      <c r="AD68" s="67">
        <v>24031</v>
      </c>
      <c r="AE68" s="69" t="s">
        <v>191</v>
      </c>
      <c r="AF68" s="67" t="s">
        <v>229</v>
      </c>
      <c r="AG68" s="67" t="s">
        <v>230</v>
      </c>
      <c r="AH68" s="67"/>
      <c r="AI68" s="67">
        <f>49356+708</f>
        <v>50064</v>
      </c>
    </row>
    <row r="69" spans="1:35" ht="33.75">
      <c r="A69" s="59">
        <v>17</v>
      </c>
      <c r="B69" s="60" t="s">
        <v>231</v>
      </c>
      <c r="C69" s="61" t="str">
        <f ca="1" t="shared" si="1"/>
        <v>Антисептик-антипирен «ПИРИЛАКС СС-2» для древесины
кг
</v>
      </c>
      <c r="D69" s="62">
        <v>733.8</v>
      </c>
      <c r="E69" s="63">
        <v>15.16</v>
      </c>
      <c r="F69" s="63"/>
      <c r="G69" s="63">
        <v>15.16</v>
      </c>
      <c r="H69" s="64" t="s">
        <v>232</v>
      </c>
      <c r="I69" s="65">
        <v>101690</v>
      </c>
      <c r="J69" s="63"/>
      <c r="K69" s="63"/>
      <c r="L69" s="63" t="str">
        <f>IF(733.8*15.16=0," ",TEXT(,ROUND((733.8*15.16*9.141),2)))</f>
        <v>101688.21</v>
      </c>
      <c r="M69" s="63"/>
      <c r="N69" s="63"/>
      <c r="O69" s="66"/>
      <c r="P69" s="66"/>
      <c r="Q69" s="66"/>
      <c r="R69" s="66"/>
      <c r="S69" s="66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 t="s">
        <v>233</v>
      </c>
      <c r="AG69" s="67" t="s">
        <v>234</v>
      </c>
      <c r="AH69" s="67"/>
      <c r="AI69" s="67">
        <f>0+0</f>
        <v>0</v>
      </c>
    </row>
    <row r="70" spans="1:35" ht="17.25" customHeight="1">
      <c r="A70" s="84" t="s">
        <v>235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</row>
    <row r="71" spans="1:35" ht="112.5">
      <c r="A71" s="59">
        <v>18</v>
      </c>
      <c r="B71" s="60" t="s">
        <v>236</v>
      </c>
      <c r="C7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Устройство: карнизов
100 м2 стен, фронтонов (за вычетом проемов) и развернутых поверхностей карнизов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17773 руб. НР 90%=118%*(0,85*0,9) от ФОТ (19748 руб.)
8492 руб.СП 43%=63%*(0,8*0,85) от ФОТ (19748 руб.)
</v>
      </c>
      <c r="D71" s="62" t="s">
        <v>237</v>
      </c>
      <c r="E71" s="63" t="s">
        <v>238</v>
      </c>
      <c r="F71" s="63">
        <v>79.81</v>
      </c>
      <c r="G71" s="63">
        <v>4013.92</v>
      </c>
      <c r="H71" s="64" t="s">
        <v>239</v>
      </c>
      <c r="I71" s="65">
        <v>41585</v>
      </c>
      <c r="J71" s="63">
        <v>19748</v>
      </c>
      <c r="K71" s="63">
        <v>878</v>
      </c>
      <c r="L71" s="63" t="str">
        <f>IF(0.9177*4013.92=0," ",TEXT(,ROUND((0.9177*4013.92*5.69),2)))</f>
        <v>20959.54</v>
      </c>
      <c r="M71" s="63">
        <v>143</v>
      </c>
      <c r="N71" s="63">
        <v>131.23</v>
      </c>
      <c r="O71" s="66"/>
      <c r="P71" s="66"/>
      <c r="Q71" s="66"/>
      <c r="R71" s="66"/>
      <c r="S71" s="66"/>
      <c r="T71" s="67"/>
      <c r="U71" s="67"/>
      <c r="V71" s="67"/>
      <c r="W71" s="67"/>
      <c r="X71" s="67"/>
      <c r="Y71" s="67"/>
      <c r="Z71" s="67"/>
      <c r="AA71" s="67" t="s">
        <v>88</v>
      </c>
      <c r="AB71" s="67" t="s">
        <v>89</v>
      </c>
      <c r="AC71" s="67">
        <v>17773</v>
      </c>
      <c r="AD71" s="67">
        <v>8492</v>
      </c>
      <c r="AE71" s="69" t="s">
        <v>191</v>
      </c>
      <c r="AF71" s="67" t="s">
        <v>240</v>
      </c>
      <c r="AG71" s="67" t="s">
        <v>241</v>
      </c>
      <c r="AH71" s="67"/>
      <c r="AI71" s="67">
        <f>19748+0</f>
        <v>19748</v>
      </c>
    </row>
    <row r="72" spans="1:35" ht="56.25">
      <c r="A72" s="59">
        <v>19</v>
      </c>
      <c r="B72" s="60" t="s">
        <v>242</v>
      </c>
      <c r="C7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Облицовка карнизов стальным профилированным листом
100 м2
2821 руб. НР 69%=90%*(0,85*0,9) от ФОТ (4088 руб.)
2371 руб.СП 58%=85%*(0,8*0,85) от ФОТ (4088 руб.)
</v>
      </c>
      <c r="D72" s="62" t="s">
        <v>237</v>
      </c>
      <c r="E72" s="63" t="s">
        <v>243</v>
      </c>
      <c r="F72" s="63" t="s">
        <v>244</v>
      </c>
      <c r="G72" s="63">
        <v>13.36</v>
      </c>
      <c r="H72" s="64" t="s">
        <v>245</v>
      </c>
      <c r="I72" s="65">
        <v>4389</v>
      </c>
      <c r="J72" s="63">
        <v>4065</v>
      </c>
      <c r="K72" s="63" t="s">
        <v>246</v>
      </c>
      <c r="L72" s="63" t="str">
        <f>IF(0.9177*13.36=0," ",TEXT(,ROUND((0.9177*13.36*2.84),2)))</f>
        <v>34.82</v>
      </c>
      <c r="M72" s="63" t="s">
        <v>247</v>
      </c>
      <c r="N72" s="63" t="s">
        <v>248</v>
      </c>
      <c r="O72" s="66"/>
      <c r="P72" s="66"/>
      <c r="Q72" s="66"/>
      <c r="R72" s="66"/>
      <c r="S72" s="66"/>
      <c r="T72" s="67"/>
      <c r="U72" s="67"/>
      <c r="V72" s="67"/>
      <c r="W72" s="67"/>
      <c r="X72" s="67"/>
      <c r="Y72" s="67"/>
      <c r="Z72" s="67"/>
      <c r="AA72" s="67" t="s">
        <v>249</v>
      </c>
      <c r="AB72" s="67" t="s">
        <v>250</v>
      </c>
      <c r="AC72" s="67">
        <v>2821</v>
      </c>
      <c r="AD72" s="67">
        <v>2371</v>
      </c>
      <c r="AE72" s="67"/>
      <c r="AF72" s="67" t="s">
        <v>251</v>
      </c>
      <c r="AG72" s="67" t="s">
        <v>210</v>
      </c>
      <c r="AH72" s="67"/>
      <c r="AI72" s="67">
        <f>4065+23</f>
        <v>4088</v>
      </c>
    </row>
    <row r="73" spans="1:35" ht="45">
      <c r="A73" s="59">
        <v>20</v>
      </c>
      <c r="B73" s="60" t="s">
        <v>252</v>
      </c>
      <c r="C7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Профилированный настил окрашенный С10-1000-0,6
т
</v>
      </c>
      <c r="D73" s="62" t="s">
        <v>253</v>
      </c>
      <c r="E73" s="63">
        <v>12276.61</v>
      </c>
      <c r="F73" s="63"/>
      <c r="G73" s="63">
        <v>12276.61</v>
      </c>
      <c r="H73" s="64" t="s">
        <v>254</v>
      </c>
      <c r="I73" s="65">
        <v>19840</v>
      </c>
      <c r="J73" s="63"/>
      <c r="K73" s="63"/>
      <c r="L73" s="63" t="str">
        <f>IF(0.527953*12276.61=0," ",TEXT(,ROUND((0.527953*12276.61*3.061),2)))</f>
        <v>19839.79</v>
      </c>
      <c r="M73" s="63"/>
      <c r="N73" s="63"/>
      <c r="O73" s="66"/>
      <c r="P73" s="66"/>
      <c r="Q73" s="66"/>
      <c r="R73" s="66"/>
      <c r="S73" s="66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 t="s">
        <v>255</v>
      </c>
      <c r="AG73" s="67" t="s">
        <v>256</v>
      </c>
      <c r="AH73" s="67"/>
      <c r="AI73" s="67">
        <f>0+0</f>
        <v>0</v>
      </c>
    </row>
    <row r="74" spans="1:35" ht="17.25" customHeight="1">
      <c r="A74" s="84" t="s">
        <v>257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</row>
    <row r="75" spans="1:35" ht="112.5">
      <c r="A75" s="59">
        <v>21</v>
      </c>
      <c r="B75" s="60" t="s">
        <v>258</v>
      </c>
      <c r="C75" s="61" t="str">
        <f ca="1" t="shared" si="2" ref="C75:C83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кровли из металлочерепицы по готовым прогонам: простая кровля
100 м2 кровли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40819 руб. НР 92%=120%*(0,85*0,9) от ФОТ (44369 руб.)
19522 руб.СП 44%=65%*(0,8*0,85) от ФОТ (44369 руб.)
</v>
      </c>
      <c r="D75" s="62" t="s">
        <v>56</v>
      </c>
      <c r="E75" s="63" t="s">
        <v>259</v>
      </c>
      <c r="F75" s="63" t="s">
        <v>260</v>
      </c>
      <c r="G75" s="63">
        <v>9150.25</v>
      </c>
      <c r="H75" s="64" t="s">
        <v>261</v>
      </c>
      <c r="I75" s="65">
        <v>242564</v>
      </c>
      <c r="J75" s="63">
        <v>42875</v>
      </c>
      <c r="K75" s="63" t="s">
        <v>262</v>
      </c>
      <c r="L75" s="63" t="str">
        <f>IF(7.3008*9150.25=0," ",TEXT(,ROUND((7.3008*9150.25*2.83),2)))</f>
        <v>189055.73</v>
      </c>
      <c r="M75" s="63" t="s">
        <v>263</v>
      </c>
      <c r="N75" s="63" t="s">
        <v>264</v>
      </c>
      <c r="O75" s="66"/>
      <c r="P75" s="66"/>
      <c r="Q75" s="66"/>
      <c r="R75" s="66"/>
      <c r="S75" s="66"/>
      <c r="T75" s="67"/>
      <c r="U75" s="67"/>
      <c r="V75" s="67"/>
      <c r="W75" s="67"/>
      <c r="X75" s="67"/>
      <c r="Y75" s="67"/>
      <c r="Z75" s="67"/>
      <c r="AA75" s="67" t="s">
        <v>265</v>
      </c>
      <c r="AB75" s="67" t="s">
        <v>266</v>
      </c>
      <c r="AC75" s="67">
        <v>40819</v>
      </c>
      <c r="AD75" s="67">
        <v>19522</v>
      </c>
      <c r="AE75" s="69" t="s">
        <v>191</v>
      </c>
      <c r="AF75" s="67" t="s">
        <v>267</v>
      </c>
      <c r="AG75" s="67" t="s">
        <v>80</v>
      </c>
      <c r="AH75" s="67"/>
      <c r="AI75" s="67">
        <f>42875+1494</f>
        <v>44369</v>
      </c>
    </row>
    <row r="76" spans="1:35" ht="22.5">
      <c r="A76" s="59">
        <v>22</v>
      </c>
      <c r="B76" s="60" t="s">
        <v>268</v>
      </c>
      <c r="C76" s="61" t="str">
        <f ca="1" t="shared" si="2"/>
        <v>Металлочерепица «Монтеррей»
м2
</v>
      </c>
      <c r="D76" s="62">
        <v>-890.7</v>
      </c>
      <c r="E76" s="63">
        <v>70.5</v>
      </c>
      <c r="F76" s="63"/>
      <c r="G76" s="63">
        <v>70.5</v>
      </c>
      <c r="H76" s="64" t="s">
        <v>269</v>
      </c>
      <c r="I76" s="65">
        <v>-187252</v>
      </c>
      <c r="J76" s="63"/>
      <c r="K76" s="63"/>
      <c r="L76" s="63" t="str">
        <f>IF(-890.7*70.5=0," ",TEXT(,ROUND((-890.7*70.5*2.982),2)))</f>
        <v>-187252.75</v>
      </c>
      <c r="M76" s="63"/>
      <c r="N76" s="63"/>
      <c r="O76" s="66"/>
      <c r="P76" s="66"/>
      <c r="Q76" s="66"/>
      <c r="R76" s="66"/>
      <c r="S76" s="66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 t="s">
        <v>270</v>
      </c>
      <c r="AG76" s="67" t="s">
        <v>271</v>
      </c>
      <c r="AH76" s="67"/>
      <c r="AI76" s="67">
        <f>0+0</f>
        <v>0</v>
      </c>
    </row>
    <row r="77" spans="1:35" ht="45">
      <c r="A77" s="59">
        <v>23</v>
      </c>
      <c r="B77" s="60" t="s">
        <v>272</v>
      </c>
      <c r="C77" s="61" t="str">
        <f ca="1" t="shared" si="2"/>
        <v>Профилированный лист оцинкованный НС44-1000-0,7
т
</v>
      </c>
      <c r="D77" s="62" t="s">
        <v>273</v>
      </c>
      <c r="E77" s="63">
        <v>10090.38</v>
      </c>
      <c r="F77" s="63"/>
      <c r="G77" s="63">
        <v>10090.38</v>
      </c>
      <c r="H77" s="64" t="s">
        <v>274</v>
      </c>
      <c r="I77" s="65">
        <v>258382</v>
      </c>
      <c r="J77" s="63"/>
      <c r="K77" s="63"/>
      <c r="L77" s="63" t="str">
        <f>IF(6.726227*10090.38=0," ",TEXT(,ROUND((6.726227*10090.38*3.807),2)))</f>
        <v>258381.8</v>
      </c>
      <c r="M77" s="63"/>
      <c r="N77" s="63"/>
      <c r="O77" s="66"/>
      <c r="P77" s="66"/>
      <c r="Q77" s="66"/>
      <c r="R77" s="66"/>
      <c r="S77" s="66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 t="s">
        <v>275</v>
      </c>
      <c r="AG77" s="67" t="s">
        <v>256</v>
      </c>
      <c r="AH77" s="67"/>
      <c r="AI77" s="67">
        <f>0+0</f>
        <v>0</v>
      </c>
    </row>
    <row r="78" spans="1:35" ht="42">
      <c r="A78" s="59">
        <v>24</v>
      </c>
      <c r="B78" s="60" t="s">
        <v>276</v>
      </c>
      <c r="C78" s="61" t="str">
        <f ca="1" t="shared" si="2"/>
        <v>Планка оцинкованная, с полимерным покрытием конька металлочерепичного: плоского, с полкой 190мм
м
</v>
      </c>
      <c r="D78" s="62">
        <v>68.95</v>
      </c>
      <c r="E78" s="63">
        <v>112.33</v>
      </c>
      <c r="F78" s="63"/>
      <c r="G78" s="63">
        <v>112.33</v>
      </c>
      <c r="H78" s="64" t="s">
        <v>277</v>
      </c>
      <c r="I78" s="65">
        <v>15854</v>
      </c>
      <c r="J78" s="63"/>
      <c r="K78" s="63"/>
      <c r="L78" s="63" t="str">
        <f>IF(68.95*112.33=0," ",TEXT(,ROUND((68.95*112.33*2.047),2)))</f>
        <v>15854.33</v>
      </c>
      <c r="M78" s="63"/>
      <c r="N78" s="63"/>
      <c r="O78" s="66"/>
      <c r="P78" s="66"/>
      <c r="Q78" s="66"/>
      <c r="R78" s="66"/>
      <c r="S78" s="66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 t="s">
        <v>278</v>
      </c>
      <c r="AG78" s="67" t="s">
        <v>279</v>
      </c>
      <c r="AH78" s="67"/>
      <c r="AI78" s="67">
        <f>0+0</f>
        <v>0</v>
      </c>
    </row>
    <row r="79" spans="1:35" ht="33.75">
      <c r="A79" s="59">
        <v>25</v>
      </c>
      <c r="B79" s="60" t="s">
        <v>280</v>
      </c>
      <c r="C79" s="61" t="str">
        <f ca="1" t="shared" si="2"/>
        <v>Планка примыкания нижняя металлочерепичная оцинкованная, с полимерным покрытием
м
</v>
      </c>
      <c r="D79" s="62">
        <v>95.73</v>
      </c>
      <c r="E79" s="63">
        <v>95.32</v>
      </c>
      <c r="F79" s="63"/>
      <c r="G79" s="63">
        <v>95.32</v>
      </c>
      <c r="H79" s="64" t="s">
        <v>281</v>
      </c>
      <c r="I79" s="65">
        <v>15795</v>
      </c>
      <c r="J79" s="63"/>
      <c r="K79" s="63"/>
      <c r="L79" s="63" t="str">
        <f>IF(95.73*95.32=0," ",TEXT(,ROUND((95.73*95.32*1.731),2)))</f>
        <v>15795.35</v>
      </c>
      <c r="M79" s="63"/>
      <c r="N79" s="63"/>
      <c r="O79" s="66"/>
      <c r="P79" s="66"/>
      <c r="Q79" s="66"/>
      <c r="R79" s="66"/>
      <c r="S79" s="66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 t="s">
        <v>282</v>
      </c>
      <c r="AG79" s="67" t="s">
        <v>279</v>
      </c>
      <c r="AH79" s="67"/>
      <c r="AI79" s="67">
        <f>0+0</f>
        <v>0</v>
      </c>
    </row>
    <row r="80" spans="1:35" ht="45">
      <c r="A80" s="59">
        <v>26</v>
      </c>
      <c r="B80" s="60" t="s">
        <v>283</v>
      </c>
      <c r="C80" s="61" t="str">
        <f ca="1" t="shared" si="2"/>
        <v>Лист плоский с полимерным покрытием размером 2х1,25 м, тип покрытия полиэстер 25 мкм, толщиной 0,5 мм
м2
</v>
      </c>
      <c r="D80" s="62" t="s">
        <v>284</v>
      </c>
      <c r="E80" s="63">
        <v>127.22</v>
      </c>
      <c r="F80" s="63"/>
      <c r="G80" s="63">
        <v>127.22</v>
      </c>
      <c r="H80" s="64" t="s">
        <v>285</v>
      </c>
      <c r="I80" s="65">
        <v>40229</v>
      </c>
      <c r="J80" s="63"/>
      <c r="K80" s="63"/>
      <c r="L80" s="63" t="str">
        <f>IF(109.456*127.22=0," ",TEXT(,ROUND((109.456*127.22*2.889),2)))</f>
        <v>40229.3</v>
      </c>
      <c r="M80" s="63"/>
      <c r="N80" s="63"/>
      <c r="O80" s="66"/>
      <c r="P80" s="66"/>
      <c r="Q80" s="66"/>
      <c r="R80" s="66"/>
      <c r="S80" s="66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 t="s">
        <v>286</v>
      </c>
      <c r="AG80" s="67" t="s">
        <v>271</v>
      </c>
      <c r="AH80" s="67"/>
      <c r="AI80" s="67">
        <f>0+0</f>
        <v>0</v>
      </c>
    </row>
    <row r="81" spans="1:35" ht="56.25">
      <c r="A81" s="59">
        <v>27</v>
      </c>
      <c r="B81" s="60" t="s">
        <v>287</v>
      </c>
      <c r="C81" s="61" t="str">
        <f ca="1" t="shared" si="2"/>
        <v>Устройство покрытия из рулонных материалов: насухо без промазки кромок
100 м2 кровли
2883 руб. НР 71%=83%*0,85 от ФОТ (4060 руб.)
2111 руб.СП 52%=65%*0,8 от ФОТ (4060 руб.)
</v>
      </c>
      <c r="D81" s="62" t="s">
        <v>56</v>
      </c>
      <c r="E81" s="63" t="s">
        <v>288</v>
      </c>
      <c r="F81" s="63">
        <v>5.23</v>
      </c>
      <c r="G81" s="63">
        <v>883.33</v>
      </c>
      <c r="H81" s="64" t="s">
        <v>289</v>
      </c>
      <c r="I81" s="65">
        <v>31448</v>
      </c>
      <c r="J81" s="63">
        <v>4060</v>
      </c>
      <c r="K81" s="63">
        <v>367</v>
      </c>
      <c r="L81" s="63" t="str">
        <f>IF(7.3008*883.33=0," ",TEXT(,ROUND((7.3008*883.33*4.19),2)))</f>
        <v>27021.38</v>
      </c>
      <c r="M81" s="63">
        <v>4.52</v>
      </c>
      <c r="N81" s="63">
        <v>33</v>
      </c>
      <c r="O81" s="66"/>
      <c r="P81" s="66"/>
      <c r="Q81" s="66"/>
      <c r="R81" s="66"/>
      <c r="S81" s="66"/>
      <c r="T81" s="67"/>
      <c r="U81" s="67"/>
      <c r="V81" s="67"/>
      <c r="W81" s="67"/>
      <c r="X81" s="67"/>
      <c r="Y81" s="67"/>
      <c r="Z81" s="67"/>
      <c r="AA81" s="67" t="s">
        <v>67</v>
      </c>
      <c r="AB81" s="67" t="s">
        <v>68</v>
      </c>
      <c r="AC81" s="67">
        <v>2883</v>
      </c>
      <c r="AD81" s="67">
        <v>2111</v>
      </c>
      <c r="AE81" s="67"/>
      <c r="AF81" s="67" t="s">
        <v>290</v>
      </c>
      <c r="AG81" s="67" t="s">
        <v>80</v>
      </c>
      <c r="AH81" s="67"/>
      <c r="AI81" s="67">
        <f>4060+0</f>
        <v>4060</v>
      </c>
    </row>
    <row r="82" spans="1:35" ht="33.75">
      <c r="A82" s="59">
        <v>28</v>
      </c>
      <c r="B82" s="60" t="s">
        <v>291</v>
      </c>
      <c r="C82" s="61" t="str">
        <f ca="1" t="shared" si="2"/>
        <v>Рубероид кровельный с крупнозернистой посыпкой марки РКК-350б
м2
</v>
      </c>
      <c r="D82" s="62">
        <v>-839.6</v>
      </c>
      <c r="E82" s="63">
        <v>7.46</v>
      </c>
      <c r="F82" s="63"/>
      <c r="G82" s="63">
        <v>7.46</v>
      </c>
      <c r="H82" s="64" t="s">
        <v>292</v>
      </c>
      <c r="I82" s="65">
        <v>-26103</v>
      </c>
      <c r="J82" s="63"/>
      <c r="K82" s="63"/>
      <c r="L82" s="63" t="str">
        <f>IF(-839.6*7.46=0," ",TEXT(,ROUND((-839.6*7.46*4.168),2)))</f>
        <v>-26105.92</v>
      </c>
      <c r="M82" s="63"/>
      <c r="N82" s="63"/>
      <c r="O82" s="66"/>
      <c r="P82" s="66"/>
      <c r="Q82" s="66"/>
      <c r="R82" s="66"/>
      <c r="S82" s="66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 t="s">
        <v>293</v>
      </c>
      <c r="AG82" s="67" t="s">
        <v>271</v>
      </c>
      <c r="AH82" s="67"/>
      <c r="AI82" s="67">
        <f>0+0</f>
        <v>0</v>
      </c>
    </row>
    <row r="83" spans="1:35" ht="33.75">
      <c r="A83" s="59">
        <v>29</v>
      </c>
      <c r="B83" s="60" t="s">
        <v>294</v>
      </c>
      <c r="C83" s="61" t="str">
        <f ca="1" t="shared" si="2"/>
        <v>Изоспан: Двухслойная паропроницаемая мембрана марки В
м2
</v>
      </c>
      <c r="D83" s="62">
        <v>839.6</v>
      </c>
      <c r="E83" s="63">
        <v>9.68</v>
      </c>
      <c r="F83" s="63"/>
      <c r="G83" s="63">
        <v>9.68</v>
      </c>
      <c r="H83" s="64" t="s">
        <v>295</v>
      </c>
      <c r="I83" s="65">
        <v>10856</v>
      </c>
      <c r="J83" s="63"/>
      <c r="K83" s="63"/>
      <c r="L83" s="63" t="str">
        <f>IF(839.6*9.68=0," ",TEXT(,ROUND((839.6*9.68*1.336),2)))</f>
        <v>10858.11</v>
      </c>
      <c r="M83" s="63"/>
      <c r="N83" s="63"/>
      <c r="O83" s="66"/>
      <c r="P83" s="66"/>
      <c r="Q83" s="66"/>
      <c r="R83" s="66"/>
      <c r="S83" s="66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 t="s">
        <v>296</v>
      </c>
      <c r="AG83" s="67" t="s">
        <v>271</v>
      </c>
      <c r="AH83" s="67"/>
      <c r="AI83" s="67">
        <f>0+0</f>
        <v>0</v>
      </c>
    </row>
    <row r="84" spans="1:35" ht="17.25" customHeight="1">
      <c r="A84" s="84" t="s">
        <v>297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</row>
    <row r="85" spans="1:35" ht="101.25">
      <c r="A85" s="59">
        <v>30</v>
      </c>
      <c r="B85" s="60" t="s">
        <v>298</v>
      </c>
      <c r="C85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троса по коньку кровли
100 м ограждения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293 руб. НР 92%=120%*(0,85*0,9) от ФОТ (319 руб.)
140 руб.СП 44%=65%*(0,8*0,85) от ФОТ (319 руб.)
</v>
      </c>
      <c r="D85" s="62" t="s">
        <v>299</v>
      </c>
      <c r="E85" s="63" t="s">
        <v>300</v>
      </c>
      <c r="F85" s="63" t="s">
        <v>301</v>
      </c>
      <c r="G85" s="63">
        <v>3032.91</v>
      </c>
      <c r="H85" s="64" t="s">
        <v>302</v>
      </c>
      <c r="I85" s="65">
        <v>3655</v>
      </c>
      <c r="J85" s="63">
        <v>298</v>
      </c>
      <c r="K85" s="63" t="s">
        <v>303</v>
      </c>
      <c r="L85" s="63" t="str">
        <f>IF(0.2855*3032.91=0," ",TEXT(,ROUND((0.2855*3032.91*3.67),2)))</f>
        <v>3177.84</v>
      </c>
      <c r="M85" s="63" t="s">
        <v>304</v>
      </c>
      <c r="N85" s="63" t="s">
        <v>305</v>
      </c>
      <c r="O85" s="66"/>
      <c r="P85" s="66"/>
      <c r="Q85" s="66"/>
      <c r="R85" s="66"/>
      <c r="S85" s="66"/>
      <c r="T85" s="67"/>
      <c r="U85" s="67"/>
      <c r="V85" s="67"/>
      <c r="W85" s="67"/>
      <c r="X85" s="67"/>
      <c r="Y85" s="67"/>
      <c r="Z85" s="67"/>
      <c r="AA85" s="67" t="s">
        <v>265</v>
      </c>
      <c r="AB85" s="67" t="s">
        <v>266</v>
      </c>
      <c r="AC85" s="67">
        <v>293</v>
      </c>
      <c r="AD85" s="67">
        <v>140</v>
      </c>
      <c r="AE85" s="69" t="s">
        <v>191</v>
      </c>
      <c r="AF85" s="67" t="s">
        <v>306</v>
      </c>
      <c r="AG85" s="67" t="s">
        <v>307</v>
      </c>
      <c r="AH85" s="67"/>
      <c r="AI85" s="67">
        <f>298+21</f>
        <v>319</v>
      </c>
    </row>
    <row r="86" spans="1:35" ht="63">
      <c r="A86" s="59">
        <v>31</v>
      </c>
      <c r="B86" s="60" t="s">
        <v>308</v>
      </c>
      <c r="C86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86" s="62">
        <v>-0.08565</v>
      </c>
      <c r="E86" s="63">
        <v>10045</v>
      </c>
      <c r="F86" s="63"/>
      <c r="G86" s="63">
        <v>10045</v>
      </c>
      <c r="H86" s="64" t="s">
        <v>309</v>
      </c>
      <c r="I86" s="65">
        <v>-3158</v>
      </c>
      <c r="J86" s="63"/>
      <c r="K86" s="63"/>
      <c r="L86" s="63" t="str">
        <f>IF(-0.08565*10045=0," ",TEXT(,ROUND((-0.08565*10045*3.67),2)))</f>
        <v>-3157.5</v>
      </c>
      <c r="M86" s="63"/>
      <c r="N86" s="63"/>
      <c r="O86" s="66"/>
      <c r="P86" s="66"/>
      <c r="Q86" s="66"/>
      <c r="R86" s="66"/>
      <c r="S86" s="66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 t="s">
        <v>310</v>
      </c>
      <c r="AG86" s="67" t="s">
        <v>256</v>
      </c>
      <c r="AH86" s="67"/>
      <c r="AI86" s="67">
        <f>0+0</f>
        <v>0</v>
      </c>
    </row>
    <row r="87" spans="1:35" ht="22.5">
      <c r="A87" s="59">
        <v>32</v>
      </c>
      <c r="B87" s="60" t="s">
        <v>311</v>
      </c>
      <c r="C87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Трос
м
</v>
      </c>
      <c r="D87" s="62">
        <v>28.55</v>
      </c>
      <c r="E87" s="63">
        <v>12.03</v>
      </c>
      <c r="F87" s="63"/>
      <c r="G87" s="63">
        <v>12.03</v>
      </c>
      <c r="H87" s="64" t="s">
        <v>312</v>
      </c>
      <c r="I87" s="65">
        <v>490</v>
      </c>
      <c r="J87" s="63"/>
      <c r="K87" s="63"/>
      <c r="L87" s="63" t="str">
        <f>IF(28.55*12.03=0," ",TEXT(,ROUND((28.55*12.03*1.426),2)))</f>
        <v>489.77</v>
      </c>
      <c r="M87" s="63"/>
      <c r="N87" s="63"/>
      <c r="O87" s="66"/>
      <c r="P87" s="66"/>
      <c r="Q87" s="66"/>
      <c r="R87" s="66"/>
      <c r="S87" s="66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 t="s">
        <v>313</v>
      </c>
      <c r="AG87" s="67" t="s">
        <v>279</v>
      </c>
      <c r="AH87" s="67"/>
      <c r="AI87" s="67">
        <f>0+0</f>
        <v>0</v>
      </c>
    </row>
    <row r="88" spans="1:35" ht="22.5">
      <c r="A88" s="59">
        <v>33</v>
      </c>
      <c r="B88" s="60" t="s">
        <v>314</v>
      </c>
      <c r="C88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Анкер тросовый
100 шт.
</v>
      </c>
      <c r="D88" s="62" t="s">
        <v>315</v>
      </c>
      <c r="E88" s="63">
        <v>3000</v>
      </c>
      <c r="F88" s="63"/>
      <c r="G88" s="63">
        <v>3000</v>
      </c>
      <c r="H88" s="64" t="s">
        <v>316</v>
      </c>
      <c r="I88" s="65">
        <v>912</v>
      </c>
      <c r="J88" s="63"/>
      <c r="K88" s="63"/>
      <c r="L88" s="63" t="str">
        <f>IF(0.1*3000=0," ",TEXT(,ROUND((0.1*3000*3.04),2)))</f>
        <v>912</v>
      </c>
      <c r="M88" s="63"/>
      <c r="N88" s="63"/>
      <c r="O88" s="66"/>
      <c r="P88" s="66"/>
      <c r="Q88" s="66"/>
      <c r="R88" s="66"/>
      <c r="S88" s="66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 t="s">
        <v>317</v>
      </c>
      <c r="AG88" s="67" t="s">
        <v>318</v>
      </c>
      <c r="AH88" s="67"/>
      <c r="AI88" s="67">
        <f>0+0</f>
        <v>0</v>
      </c>
    </row>
    <row r="89" spans="1:35" ht="17.25" customHeight="1">
      <c r="A89" s="84" t="s">
        <v>319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</row>
    <row r="90" spans="1:35" ht="101.25">
      <c r="A90" s="59">
        <v>34</v>
      </c>
      <c r="B90" s="60" t="s">
        <v>320</v>
      </c>
      <c r="C9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слуховых окон
1 слуховое окно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2770 руб. НР 90%=118%*(0,85*0,9) от ФОТ (3078 руб.)
1324 руб.СП 43%=63%*(0,8*0,85) от ФОТ (3078 руб.)
</v>
      </c>
      <c r="D90" s="62">
        <v>3</v>
      </c>
      <c r="E90" s="63" t="s">
        <v>321</v>
      </c>
      <c r="F90" s="63" t="s">
        <v>322</v>
      </c>
      <c r="G90" s="63">
        <v>300.2</v>
      </c>
      <c r="H90" s="64" t="s">
        <v>323</v>
      </c>
      <c r="I90" s="65">
        <v>8549</v>
      </c>
      <c r="J90" s="63">
        <v>2992</v>
      </c>
      <c r="K90" s="63" t="s">
        <v>324</v>
      </c>
      <c r="L90" s="63" t="str">
        <f>IF(3*300.2=0," ",TEXT(,ROUND((3*300.2*5.27),2)))</f>
        <v>4746.16</v>
      </c>
      <c r="M90" s="63" t="s">
        <v>325</v>
      </c>
      <c r="N90" s="63" t="s">
        <v>326</v>
      </c>
      <c r="O90" s="66"/>
      <c r="P90" s="66"/>
      <c r="Q90" s="66"/>
      <c r="R90" s="66"/>
      <c r="S90" s="66"/>
      <c r="T90" s="67"/>
      <c r="U90" s="67"/>
      <c r="V90" s="67"/>
      <c r="W90" s="67"/>
      <c r="X90" s="67"/>
      <c r="Y90" s="67"/>
      <c r="Z90" s="67"/>
      <c r="AA90" s="67" t="s">
        <v>88</v>
      </c>
      <c r="AB90" s="67" t="s">
        <v>89</v>
      </c>
      <c r="AC90" s="67">
        <v>2770</v>
      </c>
      <c r="AD90" s="67">
        <v>1324</v>
      </c>
      <c r="AE90" s="69" t="s">
        <v>191</v>
      </c>
      <c r="AF90" s="67" t="s">
        <v>327</v>
      </c>
      <c r="AG90" s="67" t="s">
        <v>328</v>
      </c>
      <c r="AH90" s="67"/>
      <c r="AI90" s="67">
        <f>2992+86</f>
        <v>3078</v>
      </c>
    </row>
    <row r="91" spans="1:35" ht="33.75">
      <c r="A91" s="59">
        <v>35</v>
      </c>
      <c r="B91" s="60" t="s">
        <v>329</v>
      </c>
      <c r="C9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Шпингалеты дверные размером 230х26 мм, оцинкованные или окрашенные
компл.
</v>
      </c>
      <c r="D91" s="62">
        <v>3</v>
      </c>
      <c r="E91" s="63">
        <v>13.42</v>
      </c>
      <c r="F91" s="63"/>
      <c r="G91" s="63">
        <v>13.42</v>
      </c>
      <c r="H91" s="64" t="s">
        <v>330</v>
      </c>
      <c r="I91" s="65">
        <v>78</v>
      </c>
      <c r="J91" s="63"/>
      <c r="K91" s="63"/>
      <c r="L91" s="63" t="str">
        <f>IF(3*13.42=0," ",TEXT(,ROUND((3*13.42*1.937),2)))</f>
        <v>77.98</v>
      </c>
      <c r="M91" s="63"/>
      <c r="N91" s="63"/>
      <c r="O91" s="66"/>
      <c r="P91" s="66"/>
      <c r="Q91" s="66"/>
      <c r="R91" s="66"/>
      <c r="S91" s="66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 t="s">
        <v>331</v>
      </c>
      <c r="AG91" s="67" t="s">
        <v>332</v>
      </c>
      <c r="AH91" s="67"/>
      <c r="AI91" s="67">
        <f>0+0</f>
        <v>0</v>
      </c>
    </row>
    <row r="92" spans="1:35" ht="22.5">
      <c r="A92" s="59">
        <v>36</v>
      </c>
      <c r="B92" s="60" t="s">
        <v>333</v>
      </c>
      <c r="C9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Петли форточные накладные размером 70х55 мм
компл.
</v>
      </c>
      <c r="D92" s="62">
        <v>6</v>
      </c>
      <c r="E92" s="63">
        <v>3.74</v>
      </c>
      <c r="F92" s="63"/>
      <c r="G92" s="63">
        <v>3.74</v>
      </c>
      <c r="H92" s="64" t="s">
        <v>334</v>
      </c>
      <c r="I92" s="65">
        <v>52</v>
      </c>
      <c r="J92" s="63"/>
      <c r="K92" s="63"/>
      <c r="L92" s="63" t="str">
        <f>IF(6*3.74=0," ",TEXT(,ROUND((6*3.74*2.325),2)))</f>
        <v>52.17</v>
      </c>
      <c r="M92" s="63"/>
      <c r="N92" s="63"/>
      <c r="O92" s="66"/>
      <c r="P92" s="66"/>
      <c r="Q92" s="66"/>
      <c r="R92" s="66"/>
      <c r="S92" s="66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 t="s">
        <v>335</v>
      </c>
      <c r="AG92" s="67" t="s">
        <v>332</v>
      </c>
      <c r="AH92" s="67"/>
      <c r="AI92" s="67">
        <f>0+0</f>
        <v>0</v>
      </c>
    </row>
    <row r="93" spans="1:35" ht="101.25">
      <c r="A93" s="59">
        <v>37</v>
      </c>
      <c r="B93" s="60" t="s">
        <v>336</v>
      </c>
      <c r="C9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Укладка ходовых досок (лестницы к слуховым окнам)
100 м ходов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23 руб. НР 90%=118%*(0,85*0,9) от ФОТ (26 руб.)
11 руб.СП 43%=63%*(0,8*0,85) от ФОТ (26 руб.)
</v>
      </c>
      <c r="D93" s="62" t="s">
        <v>337</v>
      </c>
      <c r="E93" s="63" t="s">
        <v>338</v>
      </c>
      <c r="F93" s="63" t="s">
        <v>339</v>
      </c>
      <c r="G93" s="63">
        <v>257.72</v>
      </c>
      <c r="H93" s="64" t="s">
        <v>340</v>
      </c>
      <c r="I93" s="65">
        <v>92</v>
      </c>
      <c r="J93" s="63">
        <v>25</v>
      </c>
      <c r="K93" s="63" t="s">
        <v>341</v>
      </c>
      <c r="L93" s="63" t="str">
        <f>IF(0.045*257.72=0," ",TEXT(,ROUND((0.045*257.72*5.09),2)))</f>
        <v>59.03</v>
      </c>
      <c r="M93" s="63" t="s">
        <v>342</v>
      </c>
      <c r="N93" s="63">
        <v>0.17</v>
      </c>
      <c r="O93" s="66"/>
      <c r="P93" s="66"/>
      <c r="Q93" s="66"/>
      <c r="R93" s="66"/>
      <c r="S93" s="66"/>
      <c r="T93" s="67"/>
      <c r="U93" s="67"/>
      <c r="V93" s="67"/>
      <c r="W93" s="67"/>
      <c r="X93" s="67"/>
      <c r="Y93" s="67"/>
      <c r="Z93" s="67"/>
      <c r="AA93" s="67" t="s">
        <v>88</v>
      </c>
      <c r="AB93" s="67" t="s">
        <v>89</v>
      </c>
      <c r="AC93" s="67">
        <v>23</v>
      </c>
      <c r="AD93" s="67">
        <v>11</v>
      </c>
      <c r="AE93" s="69" t="s">
        <v>191</v>
      </c>
      <c r="AF93" s="67" t="s">
        <v>343</v>
      </c>
      <c r="AG93" s="67" t="s">
        <v>344</v>
      </c>
      <c r="AH93" s="67"/>
      <c r="AI93" s="67">
        <f>25+1</f>
        <v>26</v>
      </c>
    </row>
    <row r="94" spans="1:35" ht="112.5">
      <c r="A94" s="59">
        <v>38</v>
      </c>
      <c r="B94" s="60" t="s">
        <v>345</v>
      </c>
      <c r="C94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Обивка дверей оцинкованной кровельной сталью: по дереву с одной стороны
100 м2 проемов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2482 руб. НР 90%=118%*(0,85*0,9) от ФОТ (2758 руб.)
1186 руб.СП 43%=63%*(0,8*0,85) от ФОТ (2758 руб.)
</v>
      </c>
      <c r="D94" s="62" t="s">
        <v>346</v>
      </c>
      <c r="E94" s="63" t="s">
        <v>347</v>
      </c>
      <c r="F94" s="63" t="s">
        <v>348</v>
      </c>
      <c r="G94" s="63">
        <v>8074.17</v>
      </c>
      <c r="H94" s="64" t="s">
        <v>349</v>
      </c>
      <c r="I94" s="65">
        <v>8065</v>
      </c>
      <c r="J94" s="63">
        <v>2754</v>
      </c>
      <c r="K94" s="63" t="s">
        <v>350</v>
      </c>
      <c r="L94" s="63" t="str">
        <f>IF(0.2395*8074.17=0," ",TEXT(,ROUND((0.2395*8074.17*2.72),2)))</f>
        <v>5259.84</v>
      </c>
      <c r="M94" s="63" t="s">
        <v>351</v>
      </c>
      <c r="N94" s="63" t="s">
        <v>352</v>
      </c>
      <c r="O94" s="66"/>
      <c r="P94" s="66"/>
      <c r="Q94" s="66"/>
      <c r="R94" s="66"/>
      <c r="S94" s="66"/>
      <c r="T94" s="67"/>
      <c r="U94" s="67"/>
      <c r="V94" s="67"/>
      <c r="W94" s="67"/>
      <c r="X94" s="67"/>
      <c r="Y94" s="67"/>
      <c r="Z94" s="67"/>
      <c r="AA94" s="67" t="s">
        <v>88</v>
      </c>
      <c r="AB94" s="67" t="s">
        <v>89</v>
      </c>
      <c r="AC94" s="67">
        <v>2482</v>
      </c>
      <c r="AD94" s="67">
        <v>1186</v>
      </c>
      <c r="AE94" s="69" t="s">
        <v>191</v>
      </c>
      <c r="AF94" s="67" t="s">
        <v>353</v>
      </c>
      <c r="AG94" s="67" t="s">
        <v>354</v>
      </c>
      <c r="AH94" s="67"/>
      <c r="AI94" s="67">
        <f>2754+4</f>
        <v>2758</v>
      </c>
    </row>
    <row r="95" spans="1:35" ht="17.25" customHeight="1">
      <c r="A95" s="84" t="s">
        <v>355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</row>
    <row r="96" spans="1:35" ht="56.25">
      <c r="A96" s="59">
        <v>39</v>
      </c>
      <c r="B96" s="60" t="s">
        <v>356</v>
      </c>
      <c r="C96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Монтаж лестниц прямолинейных и криволинейных, пожарных с ограждением
1 т конструкций
355 руб. НР 69%=90%*(0,85*0,9) от ФОТ (515 руб.)
299 руб.СП 58%=85%*(0,8*0,85) от ФОТ (515 руб.)
</v>
      </c>
      <c r="D96" s="62" t="s">
        <v>357</v>
      </c>
      <c r="E96" s="63" t="s">
        <v>358</v>
      </c>
      <c r="F96" s="63" t="s">
        <v>359</v>
      </c>
      <c r="G96" s="63">
        <v>88.5</v>
      </c>
      <c r="H96" s="64" t="s">
        <v>360</v>
      </c>
      <c r="I96" s="65">
        <v>1076</v>
      </c>
      <c r="J96" s="63">
        <v>412</v>
      </c>
      <c r="K96" s="63" t="s">
        <v>361</v>
      </c>
      <c r="L96" s="63" t="str">
        <f>IF(0.08823*88.5=0," ",TEXT(,ROUND((0.08823*88.5*4.43),2)))</f>
        <v>34.59</v>
      </c>
      <c r="M96" s="63" t="s">
        <v>362</v>
      </c>
      <c r="N96" s="63" t="s">
        <v>363</v>
      </c>
      <c r="O96" s="66"/>
      <c r="P96" s="66"/>
      <c r="Q96" s="66"/>
      <c r="R96" s="66"/>
      <c r="S96" s="66"/>
      <c r="T96" s="67"/>
      <c r="U96" s="67"/>
      <c r="V96" s="67"/>
      <c r="W96" s="67"/>
      <c r="X96" s="67"/>
      <c r="Y96" s="67"/>
      <c r="Z96" s="67"/>
      <c r="AA96" s="67" t="s">
        <v>249</v>
      </c>
      <c r="AB96" s="67" t="s">
        <v>250</v>
      </c>
      <c r="AC96" s="67">
        <v>355</v>
      </c>
      <c r="AD96" s="67">
        <v>299</v>
      </c>
      <c r="AE96" s="67"/>
      <c r="AF96" s="67" t="s">
        <v>364</v>
      </c>
      <c r="AG96" s="67" t="s">
        <v>365</v>
      </c>
      <c r="AH96" s="67"/>
      <c r="AI96" s="67">
        <f>412+103</f>
        <v>515</v>
      </c>
    </row>
    <row r="97" spans="1:35" ht="33.75">
      <c r="A97" s="59">
        <v>40</v>
      </c>
      <c r="B97" s="60" t="s">
        <v>366</v>
      </c>
      <c r="C97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Ограждения лестничных проемов, лестничные марши, пожарные лестницы
т
</v>
      </c>
      <c r="D97" s="62" t="s">
        <v>357</v>
      </c>
      <c r="E97" s="63">
        <v>7571</v>
      </c>
      <c r="F97" s="63"/>
      <c r="G97" s="63">
        <v>7571</v>
      </c>
      <c r="H97" s="64" t="s">
        <v>367</v>
      </c>
      <c r="I97" s="65">
        <v>5528</v>
      </c>
      <c r="J97" s="63"/>
      <c r="K97" s="63"/>
      <c r="L97" s="63" t="str">
        <f>IF(0.08823*7571=0," ",TEXT(,ROUND((0.08823*7571*8.275),2)))</f>
        <v>5527.61</v>
      </c>
      <c r="M97" s="63"/>
      <c r="N97" s="63"/>
      <c r="O97" s="66"/>
      <c r="P97" s="66"/>
      <c r="Q97" s="66"/>
      <c r="R97" s="66"/>
      <c r="S97" s="66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 t="s">
        <v>368</v>
      </c>
      <c r="AG97" s="67" t="s">
        <v>256</v>
      </c>
      <c r="AH97" s="67"/>
      <c r="AI97" s="67">
        <f>0+0</f>
        <v>0</v>
      </c>
    </row>
    <row r="98" spans="1:35" ht="146.25">
      <c r="A98" s="59">
        <v>41</v>
      </c>
      <c r="B98" s="60" t="s">
        <v>369</v>
      </c>
      <c r="C98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Окраска металлических огрунтованных поверхностей: эмалью ПФ-115
100 м2 окрашиваемой поверхности
КОЭФ. К ПОЗИЦИИ:
на два раза ПЗ=2 (ОЗП=2; ЭМ=2 к расх.; ЗПМ=2; МАТ=2 к расх.; ТЗ=2; ТЗМ=2)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81 руб. НР 69%=90%*(0,85*0,9) от ФОТ (117 руб.)
56 руб.СП 48%=70%*(0,8*0,85) от ФОТ (117 руб.)
</v>
      </c>
      <c r="D98" s="62" t="s">
        <v>370</v>
      </c>
      <c r="E98" s="63" t="s">
        <v>371</v>
      </c>
      <c r="F98" s="63" t="s">
        <v>372</v>
      </c>
      <c r="G98" s="63">
        <v>562.56</v>
      </c>
      <c r="H98" s="64" t="s">
        <v>373</v>
      </c>
      <c r="I98" s="65">
        <v>365</v>
      </c>
      <c r="J98" s="63">
        <v>117</v>
      </c>
      <c r="K98" s="63">
        <v>15</v>
      </c>
      <c r="L98" s="63" t="str">
        <f>IF(0.0954*562.56=0," ",TEXT(,ROUND((0.0954*562.56*4.34),2)))</f>
        <v>232.92</v>
      </c>
      <c r="M98" s="63" t="s">
        <v>374</v>
      </c>
      <c r="N98" s="63">
        <v>0.73</v>
      </c>
      <c r="O98" s="66"/>
      <c r="P98" s="66"/>
      <c r="Q98" s="66"/>
      <c r="R98" s="66"/>
      <c r="S98" s="66"/>
      <c r="T98" s="67"/>
      <c r="U98" s="67"/>
      <c r="V98" s="67"/>
      <c r="W98" s="67"/>
      <c r="X98" s="67"/>
      <c r="Y98" s="67"/>
      <c r="Z98" s="67"/>
      <c r="AA98" s="67" t="s">
        <v>249</v>
      </c>
      <c r="AB98" s="67" t="s">
        <v>60</v>
      </c>
      <c r="AC98" s="67">
        <v>81</v>
      </c>
      <c r="AD98" s="67">
        <v>56</v>
      </c>
      <c r="AE98" s="69" t="s">
        <v>375</v>
      </c>
      <c r="AF98" s="67" t="s">
        <v>376</v>
      </c>
      <c r="AG98" s="67" t="s">
        <v>377</v>
      </c>
      <c r="AH98" s="67"/>
      <c r="AI98" s="67">
        <f>117+0</f>
        <v>117</v>
      </c>
    </row>
    <row r="99" spans="1:35" ht="17.25" customHeight="1">
      <c r="A99" s="84" t="s">
        <v>378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</row>
    <row r="100" spans="1:35" ht="101.25">
      <c r="A100" s="59">
        <v>42</v>
      </c>
      <c r="B100" s="60" t="s">
        <v>298</v>
      </c>
      <c r="C10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Ограждение кровель перилами
100 м ограждения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1132 руб. НР 92%=120%*(0,85*0,9) от ФОТ (1230 руб.)
541 руб.СП 44%=65%*(0,8*0,85) от ФОТ (1230 руб.)
</v>
      </c>
      <c r="D100" s="62" t="s">
        <v>379</v>
      </c>
      <c r="E100" s="63" t="s">
        <v>300</v>
      </c>
      <c r="F100" s="63" t="s">
        <v>301</v>
      </c>
      <c r="G100" s="63">
        <v>3032.91</v>
      </c>
      <c r="H100" s="64" t="s">
        <v>302</v>
      </c>
      <c r="I100" s="65">
        <v>14084</v>
      </c>
      <c r="J100" s="63">
        <v>1147</v>
      </c>
      <c r="K100" s="63" t="s">
        <v>380</v>
      </c>
      <c r="L100" s="63" t="str">
        <f>IF(1.1*3032.91=0," ",TEXT(,ROUND((1.1*3032.91*3.67),2)))</f>
        <v>12243.86</v>
      </c>
      <c r="M100" s="63" t="s">
        <v>304</v>
      </c>
      <c r="N100" s="63" t="s">
        <v>381</v>
      </c>
      <c r="O100" s="66"/>
      <c r="P100" s="66"/>
      <c r="Q100" s="66"/>
      <c r="R100" s="66"/>
      <c r="S100" s="66"/>
      <c r="T100" s="67"/>
      <c r="U100" s="67"/>
      <c r="V100" s="67"/>
      <c r="W100" s="67"/>
      <c r="X100" s="67"/>
      <c r="Y100" s="67"/>
      <c r="Z100" s="67"/>
      <c r="AA100" s="67" t="s">
        <v>265</v>
      </c>
      <c r="AB100" s="67" t="s">
        <v>266</v>
      </c>
      <c r="AC100" s="67">
        <v>1132</v>
      </c>
      <c r="AD100" s="67">
        <v>541</v>
      </c>
      <c r="AE100" s="69" t="s">
        <v>191</v>
      </c>
      <c r="AF100" s="67" t="s">
        <v>382</v>
      </c>
      <c r="AG100" s="67" t="s">
        <v>307</v>
      </c>
      <c r="AH100" s="67"/>
      <c r="AI100" s="67">
        <f>1147+83</f>
        <v>1230</v>
      </c>
    </row>
    <row r="101" spans="1:35" ht="191.25">
      <c r="A101" s="59">
        <v>43</v>
      </c>
      <c r="B101" s="60" t="s">
        <v>383</v>
      </c>
      <c r="C10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Окраска металлических огрунтованных поверхностей: эмалью ПФ-115
100 м2 окрашиваемой поверхности
КОЭФ. К ПОЗИЦИИ:
за 2 раза ПЗ=2 (ОЗП=2; ЭМ=2 к расх.; ЗПМ=2; МАТ=2 к расх.; ТЗ=2; ТЗМ=2);
3.13 Окраска и огрунтовка решетчатых поверхностей ОЗП=1,1; ЭМ=1,1 к расх.; ЗПМ=1,1; МАТ=1,1 к расх.; ТЗ=1,1; ТЗМ=1,1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118 руб. НР 69%=90%*(0,85*0,9) от ФОТ (171 руб.)
82 руб.СП 48%=70%*(0,8*0,85) от ФОТ (171 руб.)
</v>
      </c>
      <c r="D101" s="62" t="s">
        <v>384</v>
      </c>
      <c r="E101" s="63" t="s">
        <v>385</v>
      </c>
      <c r="F101" s="63" t="s">
        <v>386</v>
      </c>
      <c r="G101" s="63">
        <v>618.82</v>
      </c>
      <c r="H101" s="64" t="s">
        <v>373</v>
      </c>
      <c r="I101" s="65">
        <v>534</v>
      </c>
      <c r="J101" s="63">
        <v>171</v>
      </c>
      <c r="K101" s="63">
        <v>23</v>
      </c>
      <c r="L101" s="63" t="str">
        <f>IF(0.1269*618.82=0," ",TEXT(,ROUND((0.1269*618.82*4.34),2)))</f>
        <v>340.81</v>
      </c>
      <c r="M101" s="63" t="s">
        <v>387</v>
      </c>
      <c r="N101" s="63">
        <v>1.07</v>
      </c>
      <c r="O101" s="66"/>
      <c r="P101" s="66"/>
      <c r="Q101" s="66"/>
      <c r="R101" s="66"/>
      <c r="S101" s="66"/>
      <c r="T101" s="67"/>
      <c r="U101" s="67"/>
      <c r="V101" s="67"/>
      <c r="W101" s="67"/>
      <c r="X101" s="67"/>
      <c r="Y101" s="67"/>
      <c r="Z101" s="67"/>
      <c r="AA101" s="67" t="s">
        <v>249</v>
      </c>
      <c r="AB101" s="67" t="s">
        <v>60</v>
      </c>
      <c r="AC101" s="67">
        <v>118</v>
      </c>
      <c r="AD101" s="67">
        <v>82</v>
      </c>
      <c r="AE101" s="69" t="s">
        <v>388</v>
      </c>
      <c r="AF101" s="67" t="s">
        <v>376</v>
      </c>
      <c r="AG101" s="67" t="s">
        <v>377</v>
      </c>
      <c r="AH101" s="67"/>
      <c r="AI101" s="67">
        <f>171+0</f>
        <v>171</v>
      </c>
    </row>
    <row r="102" spans="1:35" ht="17.25" customHeight="1">
      <c r="A102" s="84" t="s">
        <v>389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</row>
    <row r="103" spans="1:35" ht="101.25">
      <c r="A103" s="59">
        <v>44</v>
      </c>
      <c r="B103" s="60" t="s">
        <v>390</v>
      </c>
      <c r="C10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
1 антенна
5894 руб. НР 78%=92%*0,85 от ФОТ (7557 руб.)
3930 руб.СП 52%=65%*0,8 от ФОТ (7557 руб.)
</v>
      </c>
      <c r="D103" s="62">
        <v>2</v>
      </c>
      <c r="E103" s="63" t="s">
        <v>391</v>
      </c>
      <c r="F103" s="63"/>
      <c r="G103" s="63">
        <v>4.93</v>
      </c>
      <c r="H103" s="64" t="s">
        <v>392</v>
      </c>
      <c r="I103" s="65">
        <v>7607</v>
      </c>
      <c r="J103" s="63">
        <v>7557</v>
      </c>
      <c r="K103" s="63"/>
      <c r="L103" s="63" t="str">
        <f>IF(2*4.93=0," ",TEXT(,ROUND((2*4.93*5.04),2)))</f>
        <v>49.69</v>
      </c>
      <c r="M103" s="63">
        <v>23.8</v>
      </c>
      <c r="N103" s="63">
        <v>47.6</v>
      </c>
      <c r="O103" s="66"/>
      <c r="P103" s="66"/>
      <c r="Q103" s="66"/>
      <c r="R103" s="66"/>
      <c r="S103" s="66"/>
      <c r="T103" s="67"/>
      <c r="U103" s="67"/>
      <c r="V103" s="67"/>
      <c r="W103" s="67"/>
      <c r="X103" s="67"/>
      <c r="Y103" s="67"/>
      <c r="Z103" s="67"/>
      <c r="AA103" s="67" t="s">
        <v>393</v>
      </c>
      <c r="AB103" s="67" t="s">
        <v>68</v>
      </c>
      <c r="AC103" s="67">
        <v>5894</v>
      </c>
      <c r="AD103" s="67">
        <v>3930</v>
      </c>
      <c r="AE103" s="67"/>
      <c r="AF103" s="67" t="s">
        <v>394</v>
      </c>
      <c r="AG103" s="67" t="s">
        <v>395</v>
      </c>
      <c r="AH103" s="67"/>
      <c r="AI103" s="67">
        <f>7557+0</f>
        <v>7557</v>
      </c>
    </row>
    <row r="104" spans="1:19" ht="22.5">
      <c r="A104" s="80" t="s">
        <v>148</v>
      </c>
      <c r="B104" s="79"/>
      <c r="C104" s="79"/>
      <c r="D104" s="79"/>
      <c r="E104" s="79"/>
      <c r="F104" s="79"/>
      <c r="G104" s="79"/>
      <c r="H104" s="79"/>
      <c r="I104" s="65">
        <v>812988</v>
      </c>
      <c r="J104" s="63">
        <v>156077</v>
      </c>
      <c r="K104" s="63" t="s">
        <v>396</v>
      </c>
      <c r="L104" s="63">
        <v>614370</v>
      </c>
      <c r="M104" s="63"/>
      <c r="N104" s="63" t="s">
        <v>397</v>
      </c>
      <c r="O104" s="9"/>
      <c r="P104" s="10"/>
      <c r="Q104" s="9"/>
      <c r="R104" s="9"/>
      <c r="S104" s="9"/>
    </row>
    <row r="105" spans="1:19" ht="22.5">
      <c r="A105" s="80" t="s">
        <v>398</v>
      </c>
      <c r="B105" s="79"/>
      <c r="C105" s="79"/>
      <c r="D105" s="79"/>
      <c r="E105" s="79"/>
      <c r="F105" s="79"/>
      <c r="G105" s="79"/>
      <c r="H105" s="79"/>
      <c r="I105" s="65">
        <v>840476</v>
      </c>
      <c r="J105" s="63">
        <v>173766</v>
      </c>
      <c r="K105" s="63" t="s">
        <v>399</v>
      </c>
      <c r="L105" s="63">
        <v>614370</v>
      </c>
      <c r="M105" s="63"/>
      <c r="N105" s="63" t="s">
        <v>400</v>
      </c>
      <c r="O105" s="9"/>
      <c r="P105" s="10"/>
      <c r="Q105" s="9"/>
      <c r="R105" s="9"/>
      <c r="S105" s="9"/>
    </row>
    <row r="106" spans="1:19" ht="12.75">
      <c r="A106" s="80" t="s">
        <v>152</v>
      </c>
      <c r="B106" s="79"/>
      <c r="C106" s="79"/>
      <c r="D106" s="79"/>
      <c r="E106" s="79"/>
      <c r="F106" s="79"/>
      <c r="G106" s="79"/>
      <c r="H106" s="79"/>
      <c r="I106" s="65"/>
      <c r="J106" s="63"/>
      <c r="K106" s="63"/>
      <c r="L106" s="63"/>
      <c r="M106" s="63"/>
      <c r="N106" s="63"/>
      <c r="O106" s="9"/>
      <c r="P106" s="10"/>
      <c r="Q106" s="9"/>
      <c r="R106" s="9"/>
      <c r="S106" s="9"/>
    </row>
    <row r="107" spans="1:19" ht="22.5">
      <c r="A107" s="80" t="s">
        <v>401</v>
      </c>
      <c r="B107" s="79"/>
      <c r="C107" s="79"/>
      <c r="D107" s="79"/>
      <c r="E107" s="79"/>
      <c r="F107" s="79"/>
      <c r="G107" s="79"/>
      <c r="H107" s="79"/>
      <c r="I107" s="65">
        <v>27488</v>
      </c>
      <c r="J107" s="63">
        <v>17688</v>
      </c>
      <c r="K107" s="63" t="s">
        <v>402</v>
      </c>
      <c r="L107" s="63"/>
      <c r="M107" s="63"/>
      <c r="N107" s="63" t="s">
        <v>403</v>
      </c>
      <c r="O107" s="9"/>
      <c r="P107" s="10"/>
      <c r="Q107" s="9"/>
      <c r="R107" s="9"/>
      <c r="S107" s="9"/>
    </row>
    <row r="108" spans="1:19" ht="12.75">
      <c r="A108" s="80" t="s">
        <v>151</v>
      </c>
      <c r="B108" s="79"/>
      <c r="C108" s="79"/>
      <c r="D108" s="79"/>
      <c r="E108" s="79"/>
      <c r="F108" s="79"/>
      <c r="G108" s="79"/>
      <c r="H108" s="79"/>
      <c r="I108" s="65">
        <v>146680</v>
      </c>
      <c r="J108" s="63"/>
      <c r="K108" s="63"/>
      <c r="L108" s="63"/>
      <c r="M108" s="63"/>
      <c r="N108" s="63"/>
      <c r="O108" s="9"/>
      <c r="P108" s="10"/>
      <c r="Q108" s="9"/>
      <c r="R108" s="9"/>
      <c r="S108" s="9"/>
    </row>
    <row r="109" spans="1:19" ht="12.75">
      <c r="A109" s="80" t="s">
        <v>152</v>
      </c>
      <c r="B109" s="79"/>
      <c r="C109" s="79"/>
      <c r="D109" s="79"/>
      <c r="E109" s="79"/>
      <c r="F109" s="79"/>
      <c r="G109" s="79"/>
      <c r="H109" s="79"/>
      <c r="I109" s="65"/>
      <c r="J109" s="63"/>
      <c r="K109" s="63"/>
      <c r="L109" s="63"/>
      <c r="M109" s="63"/>
      <c r="N109" s="63"/>
      <c r="O109" s="9"/>
      <c r="P109" s="10"/>
      <c r="Q109" s="9"/>
      <c r="R109" s="9"/>
      <c r="S109" s="9"/>
    </row>
    <row r="110" spans="1:19" ht="12.75">
      <c r="A110" s="80" t="s">
        <v>404</v>
      </c>
      <c r="B110" s="79"/>
      <c r="C110" s="79"/>
      <c r="D110" s="79"/>
      <c r="E110" s="79"/>
      <c r="F110" s="79"/>
      <c r="G110" s="79"/>
      <c r="H110" s="79"/>
      <c r="I110" s="65">
        <v>18877</v>
      </c>
      <c r="J110" s="63"/>
      <c r="K110" s="63"/>
      <c r="L110" s="63"/>
      <c r="M110" s="63"/>
      <c r="N110" s="63"/>
      <c r="O110" s="9"/>
      <c r="P110" s="10"/>
      <c r="Q110" s="9"/>
      <c r="R110" s="9"/>
      <c r="S110" s="9"/>
    </row>
    <row r="111" spans="1:19" ht="12.75">
      <c r="A111" s="80" t="s">
        <v>405</v>
      </c>
      <c r="B111" s="79"/>
      <c r="C111" s="79"/>
      <c r="D111" s="79"/>
      <c r="E111" s="79"/>
      <c r="F111" s="79"/>
      <c r="G111" s="79"/>
      <c r="H111" s="79"/>
      <c r="I111" s="65">
        <v>3375</v>
      </c>
      <c r="J111" s="63"/>
      <c r="K111" s="63"/>
      <c r="L111" s="63"/>
      <c r="M111" s="63"/>
      <c r="N111" s="63"/>
      <c r="O111" s="9"/>
      <c r="P111" s="10"/>
      <c r="Q111" s="9"/>
      <c r="R111" s="9"/>
      <c r="S111" s="9"/>
    </row>
    <row r="112" spans="1:19" ht="12.75">
      <c r="A112" s="80" t="s">
        <v>406</v>
      </c>
      <c r="B112" s="79"/>
      <c r="C112" s="79"/>
      <c r="D112" s="79"/>
      <c r="E112" s="79"/>
      <c r="F112" s="79"/>
      <c r="G112" s="79"/>
      <c r="H112" s="79"/>
      <c r="I112" s="65">
        <v>5894</v>
      </c>
      <c r="J112" s="63"/>
      <c r="K112" s="63"/>
      <c r="L112" s="63"/>
      <c r="M112" s="63"/>
      <c r="N112" s="63"/>
      <c r="O112" s="9"/>
      <c r="P112" s="10"/>
      <c r="Q112" s="9"/>
      <c r="R112" s="9"/>
      <c r="S112" s="9"/>
    </row>
    <row r="113" spans="1:19" ht="12.75">
      <c r="A113" s="80" t="s">
        <v>407</v>
      </c>
      <c r="B113" s="79"/>
      <c r="C113" s="79"/>
      <c r="D113" s="79"/>
      <c r="E113" s="79"/>
      <c r="F113" s="79"/>
      <c r="G113" s="79"/>
      <c r="H113" s="79"/>
      <c r="I113" s="65">
        <v>38549</v>
      </c>
      <c r="J113" s="63"/>
      <c r="K113" s="63"/>
      <c r="L113" s="63"/>
      <c r="M113" s="63"/>
      <c r="N113" s="63"/>
      <c r="O113" s="9"/>
      <c r="P113" s="10"/>
      <c r="Q113" s="9"/>
      <c r="R113" s="9"/>
      <c r="S113" s="9"/>
    </row>
    <row r="114" spans="1:19" ht="12.75">
      <c r="A114" s="80" t="s">
        <v>408</v>
      </c>
      <c r="B114" s="79"/>
      <c r="C114" s="79"/>
      <c r="D114" s="79"/>
      <c r="E114" s="79"/>
      <c r="F114" s="79"/>
      <c r="G114" s="79"/>
      <c r="H114" s="79"/>
      <c r="I114" s="65">
        <v>37561</v>
      </c>
      <c r="J114" s="63"/>
      <c r="K114" s="63"/>
      <c r="L114" s="63"/>
      <c r="M114" s="63"/>
      <c r="N114" s="63"/>
      <c r="O114" s="9"/>
      <c r="P114" s="10"/>
      <c r="Q114" s="9"/>
      <c r="R114" s="9"/>
      <c r="S114" s="9"/>
    </row>
    <row r="115" spans="1:19" ht="12.75">
      <c r="A115" s="80" t="s">
        <v>409</v>
      </c>
      <c r="B115" s="79"/>
      <c r="C115" s="79"/>
      <c r="D115" s="79"/>
      <c r="E115" s="79"/>
      <c r="F115" s="79"/>
      <c r="G115" s="79"/>
      <c r="H115" s="79"/>
      <c r="I115" s="65">
        <v>42245</v>
      </c>
      <c r="J115" s="63"/>
      <c r="K115" s="63"/>
      <c r="L115" s="63"/>
      <c r="M115" s="63"/>
      <c r="N115" s="63"/>
      <c r="O115" s="9"/>
      <c r="P115" s="10"/>
      <c r="Q115" s="9"/>
      <c r="R115" s="9"/>
      <c r="S115" s="9"/>
    </row>
    <row r="116" spans="1:19" ht="12.75">
      <c r="A116" s="80" t="s">
        <v>410</v>
      </c>
      <c r="B116" s="79"/>
      <c r="C116" s="79"/>
      <c r="D116" s="79"/>
      <c r="E116" s="79"/>
      <c r="F116" s="79"/>
      <c r="G116" s="79"/>
      <c r="H116" s="79"/>
      <c r="I116" s="65">
        <v>179</v>
      </c>
      <c r="J116" s="63"/>
      <c r="K116" s="63"/>
      <c r="L116" s="63"/>
      <c r="M116" s="63"/>
      <c r="N116" s="63"/>
      <c r="O116" s="9"/>
      <c r="P116" s="10"/>
      <c r="Q116" s="9"/>
      <c r="R116" s="9"/>
      <c r="S116" s="9"/>
    </row>
    <row r="117" spans="1:19" ht="12.75">
      <c r="A117" s="80" t="s">
        <v>158</v>
      </c>
      <c r="B117" s="79"/>
      <c r="C117" s="79"/>
      <c r="D117" s="79"/>
      <c r="E117" s="79"/>
      <c r="F117" s="79"/>
      <c r="G117" s="79"/>
      <c r="H117" s="79"/>
      <c r="I117" s="65">
        <v>82850</v>
      </c>
      <c r="J117" s="63"/>
      <c r="K117" s="63"/>
      <c r="L117" s="63"/>
      <c r="M117" s="63"/>
      <c r="N117" s="63"/>
      <c r="O117" s="9"/>
      <c r="P117" s="10"/>
      <c r="Q117" s="9"/>
      <c r="R117" s="9"/>
      <c r="S117" s="9"/>
    </row>
    <row r="118" spans="1:19" ht="12.75">
      <c r="A118" s="80" t="s">
        <v>152</v>
      </c>
      <c r="B118" s="79"/>
      <c r="C118" s="79"/>
      <c r="D118" s="79"/>
      <c r="E118" s="79"/>
      <c r="F118" s="79"/>
      <c r="G118" s="79"/>
      <c r="H118" s="79"/>
      <c r="I118" s="65"/>
      <c r="J118" s="63"/>
      <c r="K118" s="63"/>
      <c r="L118" s="63"/>
      <c r="M118" s="63"/>
      <c r="N118" s="63"/>
      <c r="O118" s="9"/>
      <c r="P118" s="10"/>
      <c r="Q118" s="9"/>
      <c r="R118" s="9"/>
      <c r="S118" s="9"/>
    </row>
    <row r="119" spans="1:19" ht="12.75">
      <c r="A119" s="80" t="s">
        <v>411</v>
      </c>
      <c r="B119" s="79"/>
      <c r="C119" s="79"/>
      <c r="D119" s="79"/>
      <c r="E119" s="79"/>
      <c r="F119" s="79"/>
      <c r="G119" s="79"/>
      <c r="H119" s="79"/>
      <c r="I119" s="65">
        <v>17946</v>
      </c>
      <c r="J119" s="63"/>
      <c r="K119" s="63"/>
      <c r="L119" s="63"/>
      <c r="M119" s="63"/>
      <c r="N119" s="63"/>
      <c r="O119" s="9"/>
      <c r="P119" s="10"/>
      <c r="Q119" s="9"/>
      <c r="R119" s="9"/>
      <c r="S119" s="9"/>
    </row>
    <row r="120" spans="1:19" ht="12.75">
      <c r="A120" s="80" t="s">
        <v>412</v>
      </c>
      <c r="B120" s="79"/>
      <c r="C120" s="79"/>
      <c r="D120" s="79"/>
      <c r="E120" s="79"/>
      <c r="F120" s="79"/>
      <c r="G120" s="79"/>
      <c r="H120" s="79"/>
      <c r="I120" s="65">
        <v>20204</v>
      </c>
      <c r="J120" s="63"/>
      <c r="K120" s="63"/>
      <c r="L120" s="63"/>
      <c r="M120" s="63"/>
      <c r="N120" s="63"/>
      <c r="O120" s="9"/>
      <c r="P120" s="10"/>
      <c r="Q120" s="9"/>
      <c r="R120" s="9"/>
      <c r="S120" s="9"/>
    </row>
    <row r="121" spans="1:19" ht="12.75">
      <c r="A121" s="80" t="s">
        <v>413</v>
      </c>
      <c r="B121" s="79"/>
      <c r="C121" s="79"/>
      <c r="D121" s="79"/>
      <c r="E121" s="79"/>
      <c r="F121" s="79"/>
      <c r="G121" s="79"/>
      <c r="H121" s="79"/>
      <c r="I121" s="65">
        <v>17756</v>
      </c>
      <c r="J121" s="63"/>
      <c r="K121" s="63"/>
      <c r="L121" s="63"/>
      <c r="M121" s="63"/>
      <c r="N121" s="63"/>
      <c r="O121" s="9"/>
      <c r="P121" s="10"/>
      <c r="Q121" s="9"/>
      <c r="R121" s="9"/>
      <c r="S121" s="9"/>
    </row>
    <row r="122" spans="1:19" ht="12.75">
      <c r="A122" s="80" t="s">
        <v>414</v>
      </c>
      <c r="B122" s="79"/>
      <c r="C122" s="79"/>
      <c r="D122" s="79"/>
      <c r="E122" s="79"/>
      <c r="F122" s="79"/>
      <c r="G122" s="79"/>
      <c r="H122" s="79"/>
      <c r="I122" s="65">
        <v>24170</v>
      </c>
      <c r="J122" s="63"/>
      <c r="K122" s="63"/>
      <c r="L122" s="63"/>
      <c r="M122" s="63"/>
      <c r="N122" s="63"/>
      <c r="O122" s="9"/>
      <c r="P122" s="10"/>
      <c r="Q122" s="9"/>
      <c r="R122" s="9"/>
      <c r="S122" s="9"/>
    </row>
    <row r="123" spans="1:19" ht="12.75">
      <c r="A123" s="80" t="s">
        <v>415</v>
      </c>
      <c r="B123" s="79"/>
      <c r="C123" s="79"/>
      <c r="D123" s="79"/>
      <c r="E123" s="79"/>
      <c r="F123" s="79"/>
      <c r="G123" s="79"/>
      <c r="H123" s="79"/>
      <c r="I123" s="65">
        <v>104</v>
      </c>
      <c r="J123" s="63"/>
      <c r="K123" s="63"/>
      <c r="L123" s="63"/>
      <c r="M123" s="63"/>
      <c r="N123" s="63"/>
      <c r="O123" s="9"/>
      <c r="P123" s="10"/>
      <c r="Q123" s="9"/>
      <c r="R123" s="9"/>
      <c r="S123" s="9"/>
    </row>
    <row r="124" spans="1:19" ht="12.75">
      <c r="A124" s="80" t="s">
        <v>416</v>
      </c>
      <c r="B124" s="79"/>
      <c r="C124" s="79"/>
      <c r="D124" s="79"/>
      <c r="E124" s="79"/>
      <c r="F124" s="79"/>
      <c r="G124" s="79"/>
      <c r="H124" s="79"/>
      <c r="I124" s="65">
        <v>2670</v>
      </c>
      <c r="J124" s="63"/>
      <c r="K124" s="63"/>
      <c r="L124" s="63"/>
      <c r="M124" s="63"/>
      <c r="N124" s="63"/>
      <c r="O124" s="9"/>
      <c r="P124" s="10"/>
      <c r="Q124" s="9"/>
      <c r="R124" s="9"/>
      <c r="S124" s="9"/>
    </row>
    <row r="125" spans="1:19" ht="12.75">
      <c r="A125" s="81" t="s">
        <v>417</v>
      </c>
      <c r="B125" s="77"/>
      <c r="C125" s="77"/>
      <c r="D125" s="77"/>
      <c r="E125" s="77"/>
      <c r="F125" s="77"/>
      <c r="G125" s="77"/>
      <c r="H125" s="77"/>
      <c r="I125" s="65"/>
      <c r="J125" s="63"/>
      <c r="K125" s="63"/>
      <c r="L125" s="63"/>
      <c r="M125" s="63"/>
      <c r="N125" s="63"/>
      <c r="O125" s="9"/>
      <c r="P125" s="10"/>
      <c r="Q125" s="9"/>
      <c r="R125" s="9"/>
      <c r="S125" s="9"/>
    </row>
    <row r="126" spans="1:19" ht="22.5">
      <c r="A126" s="80" t="s">
        <v>418</v>
      </c>
      <c r="B126" s="79"/>
      <c r="C126" s="79"/>
      <c r="D126" s="79"/>
      <c r="E126" s="79"/>
      <c r="F126" s="79"/>
      <c r="G126" s="79"/>
      <c r="H126" s="79"/>
      <c r="I126" s="65">
        <v>1052575</v>
      </c>
      <c r="J126" s="63"/>
      <c r="K126" s="63"/>
      <c r="L126" s="63"/>
      <c r="M126" s="63"/>
      <c r="N126" s="63" t="s">
        <v>419</v>
      </c>
      <c r="O126" s="9"/>
      <c r="P126" s="10"/>
      <c r="Q126" s="9"/>
      <c r="R126" s="9"/>
      <c r="S126" s="9"/>
    </row>
    <row r="127" spans="1:19" ht="12.75">
      <c r="A127" s="80" t="s">
        <v>420</v>
      </c>
      <c r="B127" s="79"/>
      <c r="C127" s="79"/>
      <c r="D127" s="79"/>
      <c r="E127" s="79"/>
      <c r="F127" s="79"/>
      <c r="G127" s="79"/>
      <c r="H127" s="79"/>
      <c r="I127" s="65">
        <v>17431</v>
      </c>
      <c r="J127" s="63"/>
      <c r="K127" s="63"/>
      <c r="L127" s="63"/>
      <c r="M127" s="63"/>
      <c r="N127" s="63">
        <v>47.6</v>
      </c>
      <c r="O127" s="9"/>
      <c r="P127" s="10"/>
      <c r="Q127" s="9"/>
      <c r="R127" s="9"/>
      <c r="S127" s="9"/>
    </row>
    <row r="128" spans="1:19" ht="22.5">
      <c r="A128" s="80" t="s">
        <v>174</v>
      </c>
      <c r="B128" s="79"/>
      <c r="C128" s="79"/>
      <c r="D128" s="79"/>
      <c r="E128" s="79"/>
      <c r="F128" s="79"/>
      <c r="G128" s="79"/>
      <c r="H128" s="79"/>
      <c r="I128" s="65">
        <v>1070006</v>
      </c>
      <c r="J128" s="63"/>
      <c r="K128" s="63"/>
      <c r="L128" s="63"/>
      <c r="M128" s="63"/>
      <c r="N128" s="63" t="s">
        <v>400</v>
      </c>
      <c r="O128" s="9"/>
      <c r="P128" s="10"/>
      <c r="Q128" s="9"/>
      <c r="R128" s="9"/>
      <c r="S128" s="9"/>
    </row>
    <row r="129" spans="1:19" ht="12.75">
      <c r="A129" s="80" t="s">
        <v>175</v>
      </c>
      <c r="B129" s="79"/>
      <c r="C129" s="79"/>
      <c r="D129" s="79"/>
      <c r="E129" s="79"/>
      <c r="F129" s="79"/>
      <c r="G129" s="79"/>
      <c r="H129" s="79"/>
      <c r="I129" s="65"/>
      <c r="J129" s="63"/>
      <c r="K129" s="63"/>
      <c r="L129" s="63"/>
      <c r="M129" s="63"/>
      <c r="N129" s="63"/>
      <c r="O129" s="9"/>
      <c r="P129" s="10"/>
      <c r="Q129" s="9"/>
      <c r="R129" s="9"/>
      <c r="S129" s="9"/>
    </row>
    <row r="130" spans="1:19" ht="12.75">
      <c r="A130" s="80" t="s">
        <v>421</v>
      </c>
      <c r="B130" s="79"/>
      <c r="C130" s="79"/>
      <c r="D130" s="79"/>
      <c r="E130" s="79"/>
      <c r="F130" s="79"/>
      <c r="G130" s="79"/>
      <c r="H130" s="79"/>
      <c r="I130" s="65">
        <v>614370</v>
      </c>
      <c r="J130" s="63"/>
      <c r="K130" s="63"/>
      <c r="L130" s="63"/>
      <c r="M130" s="63"/>
      <c r="N130" s="63"/>
      <c r="O130" s="9"/>
      <c r="P130" s="10"/>
      <c r="Q130" s="9"/>
      <c r="R130" s="9"/>
      <c r="S130" s="9"/>
    </row>
    <row r="131" spans="1:19" ht="12.75">
      <c r="A131" s="80" t="s">
        <v>176</v>
      </c>
      <c r="B131" s="79"/>
      <c r="C131" s="79"/>
      <c r="D131" s="79"/>
      <c r="E131" s="79"/>
      <c r="F131" s="79"/>
      <c r="G131" s="79"/>
      <c r="H131" s="79"/>
      <c r="I131" s="65">
        <v>52340</v>
      </c>
      <c r="J131" s="63"/>
      <c r="K131" s="63"/>
      <c r="L131" s="63"/>
      <c r="M131" s="63"/>
      <c r="N131" s="63"/>
      <c r="O131" s="9"/>
      <c r="P131" s="10"/>
      <c r="Q131" s="9"/>
      <c r="R131" s="9"/>
      <c r="S131" s="9"/>
    </row>
    <row r="132" spans="1:19" ht="12.75">
      <c r="A132" s="80" t="s">
        <v>177</v>
      </c>
      <c r="B132" s="79"/>
      <c r="C132" s="79"/>
      <c r="D132" s="79"/>
      <c r="E132" s="79"/>
      <c r="F132" s="79"/>
      <c r="G132" s="79"/>
      <c r="H132" s="79"/>
      <c r="I132" s="65">
        <v>176946</v>
      </c>
      <c r="J132" s="63"/>
      <c r="K132" s="63"/>
      <c r="L132" s="63"/>
      <c r="M132" s="63"/>
      <c r="N132" s="63"/>
      <c r="O132" s="9"/>
      <c r="P132" s="10"/>
      <c r="Q132" s="9"/>
      <c r="R132" s="9"/>
      <c r="S132" s="9"/>
    </row>
    <row r="133" spans="1:19" ht="12.75">
      <c r="A133" s="80" t="s">
        <v>178</v>
      </c>
      <c r="B133" s="79"/>
      <c r="C133" s="79"/>
      <c r="D133" s="79"/>
      <c r="E133" s="79"/>
      <c r="F133" s="79"/>
      <c r="G133" s="79"/>
      <c r="H133" s="79"/>
      <c r="I133" s="65">
        <v>146680</v>
      </c>
      <c r="J133" s="63"/>
      <c r="K133" s="63"/>
      <c r="L133" s="63"/>
      <c r="M133" s="63"/>
      <c r="N133" s="63"/>
      <c r="O133" s="9"/>
      <c r="P133" s="10"/>
      <c r="Q133" s="9"/>
      <c r="R133" s="9"/>
      <c r="S133" s="9"/>
    </row>
    <row r="134" spans="1:19" ht="12.75">
      <c r="A134" s="80" t="s">
        <v>179</v>
      </c>
      <c r="B134" s="79"/>
      <c r="C134" s="79"/>
      <c r="D134" s="79"/>
      <c r="E134" s="79"/>
      <c r="F134" s="79"/>
      <c r="G134" s="79"/>
      <c r="H134" s="79"/>
      <c r="I134" s="65">
        <v>82850</v>
      </c>
      <c r="J134" s="63"/>
      <c r="K134" s="63"/>
      <c r="L134" s="63"/>
      <c r="M134" s="63"/>
      <c r="N134" s="63"/>
      <c r="O134" s="9"/>
      <c r="P134" s="10"/>
      <c r="Q134" s="9"/>
      <c r="R134" s="9"/>
      <c r="S134" s="9"/>
    </row>
    <row r="135" spans="1:19" ht="22.5">
      <c r="A135" s="82" t="s">
        <v>422</v>
      </c>
      <c r="B135" s="83"/>
      <c r="C135" s="83"/>
      <c r="D135" s="83"/>
      <c r="E135" s="83"/>
      <c r="F135" s="83"/>
      <c r="G135" s="83"/>
      <c r="H135" s="83"/>
      <c r="I135" s="70">
        <v>1070006</v>
      </c>
      <c r="J135" s="71"/>
      <c r="K135" s="71"/>
      <c r="L135" s="71"/>
      <c r="M135" s="71"/>
      <c r="N135" s="71" t="s">
        <v>400</v>
      </c>
      <c r="O135" s="9"/>
      <c r="P135" s="10"/>
      <c r="Q135" s="9"/>
      <c r="R135" s="9"/>
      <c r="S135" s="9"/>
    </row>
    <row r="136" spans="1:35" ht="17.25" customHeight="1">
      <c r="A136" s="81" t="s">
        <v>423</v>
      </c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</row>
    <row r="137" spans="1:35" ht="112.5">
      <c r="A137" s="59">
        <v>45</v>
      </c>
      <c r="B137" s="60" t="s">
        <v>424</v>
      </c>
      <c r="C137" s="61" t="str">
        <f ca="1" t="shared" si="3" ref="C137:C147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Утепление покрытий плитами: из легких (ячеистых) бетонов или фибролита насухо
100 м2 утепляемого покрытия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24031 руб. НР 92%=120%*(0,85*0,9) от ФОТ (26121 руб.)
11493 руб.СП 44%=65%*(0,8*0,85) от ФОТ (26121 руб.)
</v>
      </c>
      <c r="D137" s="62" t="s">
        <v>425</v>
      </c>
      <c r="E137" s="63" t="s">
        <v>426</v>
      </c>
      <c r="F137" s="63" t="s">
        <v>427</v>
      </c>
      <c r="G137" s="63">
        <v>2806.69</v>
      </c>
      <c r="H137" s="64" t="s">
        <v>428</v>
      </c>
      <c r="I137" s="65">
        <v>261844</v>
      </c>
      <c r="J137" s="63">
        <v>23812</v>
      </c>
      <c r="K137" s="63" t="s">
        <v>429</v>
      </c>
      <c r="L137" s="63" t="str">
        <f>IF(4.6679*2806.69=0," ",TEXT(,ROUND((4.6679*2806.69*16.93),2)))</f>
        <v>221805.83</v>
      </c>
      <c r="M137" s="63" t="s">
        <v>430</v>
      </c>
      <c r="N137" s="63" t="s">
        <v>431</v>
      </c>
      <c r="O137" s="66"/>
      <c r="P137" s="66"/>
      <c r="Q137" s="66"/>
      <c r="R137" s="66"/>
      <c r="S137" s="66"/>
      <c r="T137" s="67"/>
      <c r="U137" s="67"/>
      <c r="V137" s="67"/>
      <c r="W137" s="67"/>
      <c r="X137" s="67"/>
      <c r="Y137" s="67"/>
      <c r="Z137" s="67"/>
      <c r="AA137" s="67" t="s">
        <v>265</v>
      </c>
      <c r="AB137" s="67" t="s">
        <v>266</v>
      </c>
      <c r="AC137" s="67">
        <v>24031</v>
      </c>
      <c r="AD137" s="67">
        <v>11493</v>
      </c>
      <c r="AE137" s="69" t="s">
        <v>191</v>
      </c>
      <c r="AF137" s="67" t="s">
        <v>432</v>
      </c>
      <c r="AG137" s="67" t="s">
        <v>433</v>
      </c>
      <c r="AH137" s="67"/>
      <c r="AI137" s="67">
        <f>23812+2309</f>
        <v>26121</v>
      </c>
    </row>
    <row r="138" spans="1:35" ht="22.5">
      <c r="A138" s="59">
        <v>46</v>
      </c>
      <c r="B138" s="60" t="s">
        <v>434</v>
      </c>
      <c r="C138" s="61" t="str">
        <f ca="1" t="shared" si="3"/>
        <v>Песок природный для строительных работ средний
м3
</v>
      </c>
      <c r="D138" s="62">
        <v>-14.28</v>
      </c>
      <c r="E138" s="63">
        <v>55.26</v>
      </c>
      <c r="F138" s="63"/>
      <c r="G138" s="63">
        <v>55.26</v>
      </c>
      <c r="H138" s="64" t="s">
        <v>435</v>
      </c>
      <c r="I138" s="65">
        <v>-6580</v>
      </c>
      <c r="J138" s="63"/>
      <c r="K138" s="63"/>
      <c r="L138" s="63" t="str">
        <f>IF(-14.28*55.26=0," ",TEXT(,ROUND((-14.28*55.26*8.338),2)))</f>
        <v>-6579.62</v>
      </c>
      <c r="M138" s="63"/>
      <c r="N138" s="63"/>
      <c r="O138" s="66"/>
      <c r="P138" s="66"/>
      <c r="Q138" s="66"/>
      <c r="R138" s="66"/>
      <c r="S138" s="66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 t="s">
        <v>436</v>
      </c>
      <c r="AG138" s="67" t="s">
        <v>437</v>
      </c>
      <c r="AH138" s="67"/>
      <c r="AI138" s="67">
        <f>0+0</f>
        <v>0</v>
      </c>
    </row>
    <row r="139" spans="1:35" ht="33.75">
      <c r="A139" s="59">
        <v>47</v>
      </c>
      <c r="B139" s="60" t="s">
        <v>438</v>
      </c>
      <c r="C139" s="61" t="str">
        <f ca="1" t="shared" si="3"/>
        <v>Плиты фибролитовые на портландцементе марки 300, толщиной 75 мм
м3
</v>
      </c>
      <c r="D139" s="62">
        <v>-36.08</v>
      </c>
      <c r="E139" s="63">
        <v>340</v>
      </c>
      <c r="F139" s="63"/>
      <c r="G139" s="63">
        <v>340</v>
      </c>
      <c r="H139" s="64" t="s">
        <v>439</v>
      </c>
      <c r="I139" s="65">
        <v>-214737</v>
      </c>
      <c r="J139" s="63"/>
      <c r="K139" s="63"/>
      <c r="L139" s="63" t="str">
        <f>IF(-36.08*340=0," ",TEXT(,ROUND((-36.08*340*17.505),2)))</f>
        <v>-214737.34</v>
      </c>
      <c r="M139" s="63"/>
      <c r="N139" s="63"/>
      <c r="O139" s="66"/>
      <c r="P139" s="66"/>
      <c r="Q139" s="66"/>
      <c r="R139" s="66"/>
      <c r="S139" s="66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 t="s">
        <v>440</v>
      </c>
      <c r="AG139" s="67" t="s">
        <v>437</v>
      </c>
      <c r="AH139" s="67"/>
      <c r="AI139" s="67">
        <f>0+0</f>
        <v>0</v>
      </c>
    </row>
    <row r="140" spans="1:35" ht="45">
      <c r="A140" s="59">
        <v>48</v>
      </c>
      <c r="B140" s="60" t="s">
        <v>441</v>
      </c>
      <c r="C140" s="61" t="str">
        <f ca="1" t="shared" si="3"/>
        <v>Плиты теплоизоляционные энергетические гидрофобизированные базальтовые: ПТЭ-125 , размером 2000х1000х50 мм
м3
</v>
      </c>
      <c r="D140" s="62">
        <v>23.33</v>
      </c>
      <c r="E140" s="63">
        <v>1554.03</v>
      </c>
      <c r="F140" s="63"/>
      <c r="G140" s="63">
        <v>1554.03</v>
      </c>
      <c r="H140" s="64" t="s">
        <v>442</v>
      </c>
      <c r="I140" s="65">
        <v>89080</v>
      </c>
      <c r="J140" s="63"/>
      <c r="K140" s="63"/>
      <c r="L140" s="63" t="str">
        <f>IF(23.33*1554.03=0," ",TEXT(,ROUND((23.33*1554.03*2.457),2)))</f>
        <v>89079.81</v>
      </c>
      <c r="M140" s="63"/>
      <c r="N140" s="63"/>
      <c r="O140" s="66"/>
      <c r="P140" s="66"/>
      <c r="Q140" s="66"/>
      <c r="R140" s="66"/>
      <c r="S140" s="66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 t="s">
        <v>443</v>
      </c>
      <c r="AG140" s="67" t="s">
        <v>437</v>
      </c>
      <c r="AH140" s="67"/>
      <c r="AI140" s="67">
        <f>0+0</f>
        <v>0</v>
      </c>
    </row>
    <row r="141" spans="1:35" ht="101.25">
      <c r="A141" s="59">
        <v>49</v>
      </c>
      <c r="B141" s="60" t="s">
        <v>444</v>
      </c>
      <c r="C141" s="61" t="str">
        <f ca="1" t="shared" si="3"/>
        <v>Устройство пароизоляции: прокладочной в один слой
100 м2 изолируемой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5336 руб. НР 92%=120%*(0,85*0,9) от ФОТ (5800 руб.)
2552 руб.СП 44%=65%*(0,8*0,85) от ФОТ (5800 руб.)
</v>
      </c>
      <c r="D141" s="62" t="s">
        <v>425</v>
      </c>
      <c r="E141" s="63" t="s">
        <v>445</v>
      </c>
      <c r="F141" s="63" t="s">
        <v>446</v>
      </c>
      <c r="G141" s="63">
        <v>851.5</v>
      </c>
      <c r="H141" s="64" t="s">
        <v>447</v>
      </c>
      <c r="I141" s="65">
        <v>27910</v>
      </c>
      <c r="J141" s="63">
        <v>5642</v>
      </c>
      <c r="K141" s="63" t="s">
        <v>448</v>
      </c>
      <c r="L141" s="63" t="str">
        <f>IF(4.6679*851.5=0," ",TEXT(,ROUND((4.6679*851.5*5.13),2)))</f>
        <v>20390.3</v>
      </c>
      <c r="M141" s="63" t="s">
        <v>449</v>
      </c>
      <c r="N141" s="63" t="s">
        <v>450</v>
      </c>
      <c r="O141" s="66"/>
      <c r="P141" s="66"/>
      <c r="Q141" s="66"/>
      <c r="R141" s="66"/>
      <c r="S141" s="66"/>
      <c r="T141" s="67"/>
      <c r="U141" s="67"/>
      <c r="V141" s="67"/>
      <c r="W141" s="67"/>
      <c r="X141" s="67"/>
      <c r="Y141" s="67"/>
      <c r="Z141" s="67"/>
      <c r="AA141" s="67" t="s">
        <v>265</v>
      </c>
      <c r="AB141" s="67" t="s">
        <v>266</v>
      </c>
      <c r="AC141" s="67">
        <v>5336</v>
      </c>
      <c r="AD141" s="67">
        <v>2552</v>
      </c>
      <c r="AE141" s="69" t="s">
        <v>191</v>
      </c>
      <c r="AF141" s="67" t="s">
        <v>451</v>
      </c>
      <c r="AG141" s="67" t="s">
        <v>452</v>
      </c>
      <c r="AH141" s="67"/>
      <c r="AI141" s="67">
        <f>5642+158</f>
        <v>5800</v>
      </c>
    </row>
    <row r="142" spans="1:35" ht="33.75">
      <c r="A142" s="59">
        <v>50</v>
      </c>
      <c r="B142" s="60" t="s">
        <v>291</v>
      </c>
      <c r="C142" s="61" t="str">
        <f ca="1" t="shared" si="3"/>
        <v>Рубероид кровельный с крупнозернистой посыпкой марки РКК-350б
м2
</v>
      </c>
      <c r="D142" s="62">
        <v>-513.5</v>
      </c>
      <c r="E142" s="63">
        <v>7.46</v>
      </c>
      <c r="F142" s="63"/>
      <c r="G142" s="63">
        <v>7.46</v>
      </c>
      <c r="H142" s="64" t="s">
        <v>292</v>
      </c>
      <c r="I142" s="65">
        <v>-15965</v>
      </c>
      <c r="J142" s="63"/>
      <c r="K142" s="63"/>
      <c r="L142" s="63" t="str">
        <f>IF(-513.5*7.46=0," ",TEXT(,ROUND((-513.5*7.46*4.168),2)))</f>
        <v>-15966.4</v>
      </c>
      <c r="M142" s="63"/>
      <c r="N142" s="63"/>
      <c r="O142" s="66"/>
      <c r="P142" s="66"/>
      <c r="Q142" s="66"/>
      <c r="R142" s="66"/>
      <c r="S142" s="66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 t="s">
        <v>293</v>
      </c>
      <c r="AG142" s="67" t="s">
        <v>271</v>
      </c>
      <c r="AH142" s="67"/>
      <c r="AI142" s="67">
        <f>0+0</f>
        <v>0</v>
      </c>
    </row>
    <row r="143" spans="1:35" ht="25.5">
      <c r="A143" s="59">
        <v>51</v>
      </c>
      <c r="B143" s="60" t="s">
        <v>453</v>
      </c>
      <c r="C143" s="61" t="str">
        <f ca="1" t="shared" si="3"/>
        <v>Изоспан: Защитный материал марки А
м2
</v>
      </c>
      <c r="D143" s="62">
        <v>513.5</v>
      </c>
      <c r="E143" s="63">
        <v>14.43</v>
      </c>
      <c r="F143" s="63"/>
      <c r="G143" s="63">
        <v>14.43</v>
      </c>
      <c r="H143" s="64" t="s">
        <v>454</v>
      </c>
      <c r="I143" s="65">
        <v>9433</v>
      </c>
      <c r="J143" s="63"/>
      <c r="K143" s="63"/>
      <c r="L143" s="63" t="str">
        <f>IF(513.5*14.43=0," ",TEXT(,ROUND((513.5*14.43*1.273),2)))</f>
        <v>9432.68</v>
      </c>
      <c r="M143" s="63"/>
      <c r="N143" s="63"/>
      <c r="O143" s="66"/>
      <c r="P143" s="66"/>
      <c r="Q143" s="66"/>
      <c r="R143" s="66"/>
      <c r="S143" s="66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 t="s">
        <v>455</v>
      </c>
      <c r="AG143" s="67" t="s">
        <v>271</v>
      </c>
      <c r="AH143" s="67"/>
      <c r="AI143" s="67">
        <f>0+0</f>
        <v>0</v>
      </c>
    </row>
    <row r="144" spans="1:35" ht="101.25">
      <c r="A144" s="59">
        <v>52</v>
      </c>
      <c r="B144" s="60" t="s">
        <v>336</v>
      </c>
      <c r="C144" s="61" t="str">
        <f ca="1" t="shared" si="3"/>
        <v>Укладка ходовых досок
100 м ходов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454 руб. НР 90%=118%*(0,85*0,9) от ФОТ (504 руб.)
217 руб.СП 43%=63%*(0,8*0,85) от ФОТ (504 руб.)
</v>
      </c>
      <c r="D144" s="62" t="s">
        <v>456</v>
      </c>
      <c r="E144" s="63" t="s">
        <v>338</v>
      </c>
      <c r="F144" s="63" t="s">
        <v>339</v>
      </c>
      <c r="G144" s="63">
        <v>257.72</v>
      </c>
      <c r="H144" s="64" t="s">
        <v>340</v>
      </c>
      <c r="I144" s="65">
        <v>1757</v>
      </c>
      <c r="J144" s="63">
        <v>486</v>
      </c>
      <c r="K144" s="63" t="s">
        <v>457</v>
      </c>
      <c r="L144" s="63" t="str">
        <f>IF(0.867*257.72=0," ",TEXT(,ROUND((0.867*257.72*5.09),2)))</f>
        <v>1137.33</v>
      </c>
      <c r="M144" s="63" t="s">
        <v>342</v>
      </c>
      <c r="N144" s="63" t="s">
        <v>458</v>
      </c>
      <c r="O144" s="66"/>
      <c r="P144" s="66"/>
      <c r="Q144" s="66"/>
      <c r="R144" s="66"/>
      <c r="S144" s="66"/>
      <c r="T144" s="67"/>
      <c r="U144" s="67"/>
      <c r="V144" s="67"/>
      <c r="W144" s="67"/>
      <c r="X144" s="67"/>
      <c r="Y144" s="67"/>
      <c r="Z144" s="67"/>
      <c r="AA144" s="67" t="s">
        <v>88</v>
      </c>
      <c r="AB144" s="67" t="s">
        <v>89</v>
      </c>
      <c r="AC144" s="67">
        <v>454</v>
      </c>
      <c r="AD144" s="67">
        <v>217</v>
      </c>
      <c r="AE144" s="69" t="s">
        <v>191</v>
      </c>
      <c r="AF144" s="67" t="s">
        <v>459</v>
      </c>
      <c r="AG144" s="67" t="s">
        <v>344</v>
      </c>
      <c r="AH144" s="67"/>
      <c r="AI144" s="67">
        <f>486+18</f>
        <v>504</v>
      </c>
    </row>
    <row r="145" spans="1:35" ht="112.5">
      <c r="A145" s="59">
        <v>53</v>
      </c>
      <c r="B145" s="60" t="s">
        <v>460</v>
      </c>
      <c r="C145" s="61" t="str">
        <f ca="1" t="shared" si="3"/>
        <v>Установка люков в перекрытиях, площадь проема до 2 м2
100 м2 проемов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278 руб. НР 90%=118%*(0,85*0,9) от ФОТ (309 руб.)
133 руб.СП 43%=63%*(0,8*0,85) от ФОТ (309 руб.)
</v>
      </c>
      <c r="D145" s="62" t="s">
        <v>461</v>
      </c>
      <c r="E145" s="63" t="s">
        <v>462</v>
      </c>
      <c r="F145" s="63" t="s">
        <v>463</v>
      </c>
      <c r="G145" s="63">
        <v>50981.73</v>
      </c>
      <c r="H145" s="64" t="s">
        <v>464</v>
      </c>
      <c r="I145" s="65">
        <v>5740</v>
      </c>
      <c r="J145" s="63">
        <v>273</v>
      </c>
      <c r="K145" s="63" t="s">
        <v>465</v>
      </c>
      <c r="L145" s="63" t="str">
        <f>IF(0.0128*50981.73=0," ",TEXT(,ROUND((0.0128*50981.73*8.05),2)))</f>
        <v>5253.16</v>
      </c>
      <c r="M145" s="63" t="s">
        <v>466</v>
      </c>
      <c r="N145" s="63" t="s">
        <v>467</v>
      </c>
      <c r="O145" s="66"/>
      <c r="P145" s="66"/>
      <c r="Q145" s="66"/>
      <c r="R145" s="66"/>
      <c r="S145" s="66"/>
      <c r="T145" s="67"/>
      <c r="U145" s="67"/>
      <c r="V145" s="67"/>
      <c r="W145" s="67"/>
      <c r="X145" s="67"/>
      <c r="Y145" s="67"/>
      <c r="Z145" s="67"/>
      <c r="AA145" s="67" t="s">
        <v>88</v>
      </c>
      <c r="AB145" s="67" t="s">
        <v>89</v>
      </c>
      <c r="AC145" s="67">
        <v>278</v>
      </c>
      <c r="AD145" s="67">
        <v>133</v>
      </c>
      <c r="AE145" s="69" t="s">
        <v>191</v>
      </c>
      <c r="AF145" s="67" t="s">
        <v>468</v>
      </c>
      <c r="AG145" s="67" t="s">
        <v>354</v>
      </c>
      <c r="AH145" s="67"/>
      <c r="AI145" s="67">
        <f>273+36</f>
        <v>309</v>
      </c>
    </row>
    <row r="146" spans="1:35" ht="22.5">
      <c r="A146" s="59">
        <v>54</v>
      </c>
      <c r="B146" s="60" t="s">
        <v>469</v>
      </c>
      <c r="C146" s="61" t="str">
        <f ca="1" t="shared" si="3"/>
        <v>Ручка-скоба из алюминиевого сплава анодированная
шт.
</v>
      </c>
      <c r="D146" s="62">
        <v>2</v>
      </c>
      <c r="E146" s="63">
        <v>20.24</v>
      </c>
      <c r="F146" s="63"/>
      <c r="G146" s="63">
        <v>20.24</v>
      </c>
      <c r="H146" s="64" t="s">
        <v>470</v>
      </c>
      <c r="I146" s="65">
        <v>78</v>
      </c>
      <c r="J146" s="63"/>
      <c r="K146" s="63"/>
      <c r="L146" s="63" t="str">
        <f>IF(2*20.24=0," ",TEXT(,ROUND((2*20.24*1.927),2)))</f>
        <v>78</v>
      </c>
      <c r="M146" s="63"/>
      <c r="N146" s="63"/>
      <c r="O146" s="66"/>
      <c r="P146" s="66"/>
      <c r="Q146" s="66"/>
      <c r="R146" s="66"/>
      <c r="S146" s="66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 t="s">
        <v>471</v>
      </c>
      <c r="AG146" s="67" t="s">
        <v>472</v>
      </c>
      <c r="AH146" s="67"/>
      <c r="AI146" s="67">
        <f>0+0</f>
        <v>0</v>
      </c>
    </row>
    <row r="147" spans="1:35" ht="22.5">
      <c r="A147" s="59">
        <v>55</v>
      </c>
      <c r="B147" s="60" t="s">
        <v>473</v>
      </c>
      <c r="C147" s="61" t="str">
        <f ca="1" t="shared" si="3"/>
        <v>Петля накладная
шт.
</v>
      </c>
      <c r="D147" s="62">
        <v>4</v>
      </c>
      <c r="E147" s="63">
        <v>12</v>
      </c>
      <c r="F147" s="63"/>
      <c r="G147" s="63">
        <v>12</v>
      </c>
      <c r="H147" s="64" t="s">
        <v>474</v>
      </c>
      <c r="I147" s="65">
        <v>87</v>
      </c>
      <c r="J147" s="63"/>
      <c r="K147" s="63"/>
      <c r="L147" s="63" t="str">
        <f>IF(4*12=0," ",TEXT(,ROUND((4*12*1.808),2)))</f>
        <v>86.78</v>
      </c>
      <c r="M147" s="63"/>
      <c r="N147" s="63"/>
      <c r="O147" s="66"/>
      <c r="P147" s="66"/>
      <c r="Q147" s="66"/>
      <c r="R147" s="66"/>
      <c r="S147" s="66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 t="s">
        <v>475</v>
      </c>
      <c r="AG147" s="67" t="s">
        <v>472</v>
      </c>
      <c r="AH147" s="67"/>
      <c r="AI147" s="67">
        <f>0+0</f>
        <v>0</v>
      </c>
    </row>
    <row r="148" spans="1:19" ht="22.5">
      <c r="A148" s="80" t="s">
        <v>148</v>
      </c>
      <c r="B148" s="79"/>
      <c r="C148" s="79"/>
      <c r="D148" s="79"/>
      <c r="E148" s="79"/>
      <c r="F148" s="79"/>
      <c r="G148" s="79"/>
      <c r="H148" s="79"/>
      <c r="I148" s="65">
        <v>151015</v>
      </c>
      <c r="J148" s="63">
        <v>26272</v>
      </c>
      <c r="K148" s="63" t="s">
        <v>476</v>
      </c>
      <c r="L148" s="63">
        <v>109982</v>
      </c>
      <c r="M148" s="63"/>
      <c r="N148" s="63" t="s">
        <v>477</v>
      </c>
      <c r="O148" s="9"/>
      <c r="P148" s="10"/>
      <c r="Q148" s="9"/>
      <c r="R148" s="9"/>
      <c r="S148" s="9"/>
    </row>
    <row r="149" spans="1:19" ht="22.5">
      <c r="A149" s="80" t="s">
        <v>398</v>
      </c>
      <c r="B149" s="79"/>
      <c r="C149" s="79"/>
      <c r="D149" s="79"/>
      <c r="E149" s="79"/>
      <c r="F149" s="79"/>
      <c r="G149" s="79"/>
      <c r="H149" s="79"/>
      <c r="I149" s="65">
        <v>158647</v>
      </c>
      <c r="J149" s="63">
        <v>30213</v>
      </c>
      <c r="K149" s="63" t="s">
        <v>478</v>
      </c>
      <c r="L149" s="63">
        <v>109982</v>
      </c>
      <c r="M149" s="63"/>
      <c r="N149" s="63" t="s">
        <v>479</v>
      </c>
      <c r="O149" s="9"/>
      <c r="P149" s="10"/>
      <c r="Q149" s="9"/>
      <c r="R149" s="9"/>
      <c r="S149" s="9"/>
    </row>
    <row r="150" spans="1:19" ht="12.75">
      <c r="A150" s="80" t="s">
        <v>152</v>
      </c>
      <c r="B150" s="79"/>
      <c r="C150" s="79"/>
      <c r="D150" s="79"/>
      <c r="E150" s="79"/>
      <c r="F150" s="79"/>
      <c r="G150" s="79"/>
      <c r="H150" s="79"/>
      <c r="I150" s="65"/>
      <c r="J150" s="63"/>
      <c r="K150" s="63"/>
      <c r="L150" s="63"/>
      <c r="M150" s="63"/>
      <c r="N150" s="63"/>
      <c r="O150" s="9"/>
      <c r="P150" s="10"/>
      <c r="Q150" s="9"/>
      <c r="R150" s="9"/>
      <c r="S150" s="9"/>
    </row>
    <row r="151" spans="1:19" ht="22.5">
      <c r="A151" s="80" t="s">
        <v>480</v>
      </c>
      <c r="B151" s="79"/>
      <c r="C151" s="79"/>
      <c r="D151" s="79"/>
      <c r="E151" s="79"/>
      <c r="F151" s="79"/>
      <c r="G151" s="79"/>
      <c r="H151" s="79"/>
      <c r="I151" s="65">
        <v>7632</v>
      </c>
      <c r="J151" s="63">
        <v>3941</v>
      </c>
      <c r="K151" s="63" t="s">
        <v>481</v>
      </c>
      <c r="L151" s="63"/>
      <c r="M151" s="63"/>
      <c r="N151" s="63" t="s">
        <v>482</v>
      </c>
      <c r="O151" s="9"/>
      <c r="P151" s="10"/>
      <c r="Q151" s="9"/>
      <c r="R151" s="9"/>
      <c r="S151" s="9"/>
    </row>
    <row r="152" spans="1:19" ht="12.75">
      <c r="A152" s="80" t="s">
        <v>151</v>
      </c>
      <c r="B152" s="79"/>
      <c r="C152" s="79"/>
      <c r="D152" s="79"/>
      <c r="E152" s="79"/>
      <c r="F152" s="79"/>
      <c r="G152" s="79"/>
      <c r="H152" s="79"/>
      <c r="I152" s="65">
        <v>30098</v>
      </c>
      <c r="J152" s="63"/>
      <c r="K152" s="63"/>
      <c r="L152" s="63"/>
      <c r="M152" s="63"/>
      <c r="N152" s="63"/>
      <c r="O152" s="9"/>
      <c r="P152" s="10"/>
      <c r="Q152" s="9"/>
      <c r="R152" s="9"/>
      <c r="S152" s="9"/>
    </row>
    <row r="153" spans="1:19" ht="12.75">
      <c r="A153" s="80" t="s">
        <v>152</v>
      </c>
      <c r="B153" s="79"/>
      <c r="C153" s="79"/>
      <c r="D153" s="79"/>
      <c r="E153" s="79"/>
      <c r="F153" s="79"/>
      <c r="G153" s="79"/>
      <c r="H153" s="79"/>
      <c r="I153" s="65"/>
      <c r="J153" s="63"/>
      <c r="K153" s="63"/>
      <c r="L153" s="63"/>
      <c r="M153" s="63"/>
      <c r="N153" s="63"/>
      <c r="O153" s="9"/>
      <c r="P153" s="10"/>
      <c r="Q153" s="9"/>
      <c r="R153" s="9"/>
      <c r="S153" s="9"/>
    </row>
    <row r="154" spans="1:19" ht="12.75">
      <c r="A154" s="80" t="s">
        <v>483</v>
      </c>
      <c r="B154" s="79"/>
      <c r="C154" s="79"/>
      <c r="D154" s="79"/>
      <c r="E154" s="79"/>
      <c r="F154" s="79"/>
      <c r="G154" s="79"/>
      <c r="H154" s="79"/>
      <c r="I154" s="65">
        <v>732</v>
      </c>
      <c r="J154" s="63"/>
      <c r="K154" s="63"/>
      <c r="L154" s="63"/>
      <c r="M154" s="63"/>
      <c r="N154" s="63"/>
      <c r="O154" s="9"/>
      <c r="P154" s="10"/>
      <c r="Q154" s="9"/>
      <c r="R154" s="9"/>
      <c r="S154" s="9"/>
    </row>
    <row r="155" spans="1:19" ht="12.75">
      <c r="A155" s="80" t="s">
        <v>484</v>
      </c>
      <c r="B155" s="79"/>
      <c r="C155" s="79"/>
      <c r="D155" s="79"/>
      <c r="E155" s="79"/>
      <c r="F155" s="79"/>
      <c r="G155" s="79"/>
      <c r="H155" s="79"/>
      <c r="I155" s="65">
        <v>29366</v>
      </c>
      <c r="J155" s="63"/>
      <c r="K155" s="63"/>
      <c r="L155" s="63"/>
      <c r="M155" s="63"/>
      <c r="N155" s="63"/>
      <c r="O155" s="9"/>
      <c r="P155" s="10"/>
      <c r="Q155" s="9"/>
      <c r="R155" s="9"/>
      <c r="S155" s="9"/>
    </row>
    <row r="156" spans="1:19" ht="12.75">
      <c r="A156" s="80" t="s">
        <v>158</v>
      </c>
      <c r="B156" s="79"/>
      <c r="C156" s="79"/>
      <c r="D156" s="79"/>
      <c r="E156" s="79"/>
      <c r="F156" s="79"/>
      <c r="G156" s="79"/>
      <c r="H156" s="79"/>
      <c r="I156" s="65">
        <v>14395</v>
      </c>
      <c r="J156" s="63"/>
      <c r="K156" s="63"/>
      <c r="L156" s="63"/>
      <c r="M156" s="63"/>
      <c r="N156" s="63"/>
      <c r="O156" s="9"/>
      <c r="P156" s="10"/>
      <c r="Q156" s="9"/>
      <c r="R156" s="9"/>
      <c r="S156" s="9"/>
    </row>
    <row r="157" spans="1:19" ht="12.75">
      <c r="A157" s="80" t="s">
        <v>152</v>
      </c>
      <c r="B157" s="79"/>
      <c r="C157" s="79"/>
      <c r="D157" s="79"/>
      <c r="E157" s="79"/>
      <c r="F157" s="79"/>
      <c r="G157" s="79"/>
      <c r="H157" s="79"/>
      <c r="I157" s="65"/>
      <c r="J157" s="63"/>
      <c r="K157" s="63"/>
      <c r="L157" s="63"/>
      <c r="M157" s="63"/>
      <c r="N157" s="63"/>
      <c r="O157" s="9"/>
      <c r="P157" s="10"/>
      <c r="Q157" s="9"/>
      <c r="R157" s="9"/>
      <c r="S157" s="9"/>
    </row>
    <row r="158" spans="1:19" ht="12.75">
      <c r="A158" s="80" t="s">
        <v>485</v>
      </c>
      <c r="B158" s="79"/>
      <c r="C158" s="79"/>
      <c r="D158" s="79"/>
      <c r="E158" s="79"/>
      <c r="F158" s="79"/>
      <c r="G158" s="79"/>
      <c r="H158" s="79"/>
      <c r="I158" s="65">
        <v>350</v>
      </c>
      <c r="J158" s="63"/>
      <c r="K158" s="63"/>
      <c r="L158" s="63"/>
      <c r="M158" s="63"/>
      <c r="N158" s="63"/>
      <c r="O158" s="9"/>
      <c r="P158" s="10"/>
      <c r="Q158" s="9"/>
      <c r="R158" s="9"/>
      <c r="S158" s="9"/>
    </row>
    <row r="159" spans="1:19" ht="12.75">
      <c r="A159" s="80" t="s">
        <v>486</v>
      </c>
      <c r="B159" s="79"/>
      <c r="C159" s="79"/>
      <c r="D159" s="79"/>
      <c r="E159" s="79"/>
      <c r="F159" s="79"/>
      <c r="G159" s="79"/>
      <c r="H159" s="79"/>
      <c r="I159" s="65">
        <v>14045</v>
      </c>
      <c r="J159" s="63"/>
      <c r="K159" s="63"/>
      <c r="L159" s="63"/>
      <c r="M159" s="63"/>
      <c r="N159" s="63"/>
      <c r="O159" s="9"/>
      <c r="P159" s="10"/>
      <c r="Q159" s="9"/>
      <c r="R159" s="9"/>
      <c r="S159" s="9"/>
    </row>
    <row r="160" spans="1:19" ht="12.75">
      <c r="A160" s="81" t="s">
        <v>487</v>
      </c>
      <c r="B160" s="77"/>
      <c r="C160" s="77"/>
      <c r="D160" s="77"/>
      <c r="E160" s="77"/>
      <c r="F160" s="77"/>
      <c r="G160" s="77"/>
      <c r="H160" s="77"/>
      <c r="I160" s="65"/>
      <c r="J160" s="63"/>
      <c r="K160" s="63"/>
      <c r="L160" s="63"/>
      <c r="M160" s="63"/>
      <c r="N160" s="63"/>
      <c r="O160" s="9"/>
      <c r="P160" s="10"/>
      <c r="Q160" s="9"/>
      <c r="R160" s="9"/>
      <c r="S160" s="9"/>
    </row>
    <row r="161" spans="1:19" ht="22.5">
      <c r="A161" s="80" t="s">
        <v>488</v>
      </c>
      <c r="B161" s="79"/>
      <c r="C161" s="79"/>
      <c r="D161" s="79"/>
      <c r="E161" s="79"/>
      <c r="F161" s="79"/>
      <c r="G161" s="79"/>
      <c r="H161" s="79"/>
      <c r="I161" s="65">
        <v>333165</v>
      </c>
      <c r="J161" s="63"/>
      <c r="K161" s="63"/>
      <c r="L161" s="63"/>
      <c r="M161" s="63"/>
      <c r="N161" s="63" t="s">
        <v>489</v>
      </c>
      <c r="O161" s="9"/>
      <c r="P161" s="10"/>
      <c r="Q161" s="9"/>
      <c r="R161" s="9"/>
      <c r="S161" s="9"/>
    </row>
    <row r="162" spans="1:19" ht="12.75">
      <c r="A162" s="80" t="s">
        <v>490</v>
      </c>
      <c r="B162" s="79"/>
      <c r="C162" s="79"/>
      <c r="D162" s="79"/>
      <c r="E162" s="79"/>
      <c r="F162" s="79"/>
      <c r="G162" s="79"/>
      <c r="H162" s="79"/>
      <c r="I162" s="65">
        <v>-138604</v>
      </c>
      <c r="J162" s="63"/>
      <c r="K162" s="63"/>
      <c r="L162" s="63"/>
      <c r="M162" s="63"/>
      <c r="N162" s="63"/>
      <c r="O162" s="9"/>
      <c r="P162" s="10"/>
      <c r="Q162" s="9"/>
      <c r="R162" s="9"/>
      <c r="S162" s="9"/>
    </row>
    <row r="163" spans="1:19" ht="22.5">
      <c r="A163" s="80" t="s">
        <v>169</v>
      </c>
      <c r="B163" s="79"/>
      <c r="C163" s="79"/>
      <c r="D163" s="79"/>
      <c r="E163" s="79"/>
      <c r="F163" s="79"/>
      <c r="G163" s="79"/>
      <c r="H163" s="79"/>
      <c r="I163" s="65">
        <v>8579</v>
      </c>
      <c r="J163" s="63"/>
      <c r="K163" s="63"/>
      <c r="L163" s="63"/>
      <c r="M163" s="63"/>
      <c r="N163" s="63" t="s">
        <v>491</v>
      </c>
      <c r="O163" s="9"/>
      <c r="P163" s="10"/>
      <c r="Q163" s="9"/>
      <c r="R163" s="9"/>
      <c r="S163" s="9"/>
    </row>
    <row r="164" spans="1:19" ht="22.5">
      <c r="A164" s="80" t="s">
        <v>174</v>
      </c>
      <c r="B164" s="79"/>
      <c r="C164" s="79"/>
      <c r="D164" s="79"/>
      <c r="E164" s="79"/>
      <c r="F164" s="79"/>
      <c r="G164" s="79"/>
      <c r="H164" s="79"/>
      <c r="I164" s="65">
        <v>203140</v>
      </c>
      <c r="J164" s="63"/>
      <c r="K164" s="63"/>
      <c r="L164" s="63"/>
      <c r="M164" s="63"/>
      <c r="N164" s="63" t="s">
        <v>479</v>
      </c>
      <c r="O164" s="9"/>
      <c r="P164" s="10"/>
      <c r="Q164" s="9"/>
      <c r="R164" s="9"/>
      <c r="S164" s="9"/>
    </row>
    <row r="165" spans="1:19" ht="12.75">
      <c r="A165" s="80" t="s">
        <v>175</v>
      </c>
      <c r="B165" s="79"/>
      <c r="C165" s="79"/>
      <c r="D165" s="79"/>
      <c r="E165" s="79"/>
      <c r="F165" s="79"/>
      <c r="G165" s="79"/>
      <c r="H165" s="79"/>
      <c r="I165" s="65"/>
      <c r="J165" s="63"/>
      <c r="K165" s="63"/>
      <c r="L165" s="63"/>
      <c r="M165" s="63"/>
      <c r="N165" s="63"/>
      <c r="O165" s="9"/>
      <c r="P165" s="10"/>
      <c r="Q165" s="9"/>
      <c r="R165" s="9"/>
      <c r="S165" s="9"/>
    </row>
    <row r="166" spans="1:19" ht="12.75">
      <c r="A166" s="80" t="s">
        <v>421</v>
      </c>
      <c r="B166" s="79"/>
      <c r="C166" s="79"/>
      <c r="D166" s="79"/>
      <c r="E166" s="79"/>
      <c r="F166" s="79"/>
      <c r="G166" s="79"/>
      <c r="H166" s="79"/>
      <c r="I166" s="65">
        <v>109982</v>
      </c>
      <c r="J166" s="63"/>
      <c r="K166" s="63"/>
      <c r="L166" s="63"/>
      <c r="M166" s="63"/>
      <c r="N166" s="63"/>
      <c r="O166" s="9"/>
      <c r="P166" s="10"/>
      <c r="Q166" s="9"/>
      <c r="R166" s="9"/>
      <c r="S166" s="9"/>
    </row>
    <row r="167" spans="1:19" ht="12.75">
      <c r="A167" s="80" t="s">
        <v>176</v>
      </c>
      <c r="B167" s="79"/>
      <c r="C167" s="79"/>
      <c r="D167" s="79"/>
      <c r="E167" s="79"/>
      <c r="F167" s="79"/>
      <c r="G167" s="79"/>
      <c r="H167" s="79"/>
      <c r="I167" s="65">
        <v>18452</v>
      </c>
      <c r="J167" s="63"/>
      <c r="K167" s="63"/>
      <c r="L167" s="63"/>
      <c r="M167" s="63"/>
      <c r="N167" s="63"/>
      <c r="O167" s="9"/>
      <c r="P167" s="10"/>
      <c r="Q167" s="9"/>
      <c r="R167" s="9"/>
      <c r="S167" s="9"/>
    </row>
    <row r="168" spans="1:19" ht="12.75">
      <c r="A168" s="80" t="s">
        <v>177</v>
      </c>
      <c r="B168" s="79"/>
      <c r="C168" s="79"/>
      <c r="D168" s="79"/>
      <c r="E168" s="79"/>
      <c r="F168" s="79"/>
      <c r="G168" s="79"/>
      <c r="H168" s="79"/>
      <c r="I168" s="65">
        <v>32733</v>
      </c>
      <c r="J168" s="63"/>
      <c r="K168" s="63"/>
      <c r="L168" s="63"/>
      <c r="M168" s="63"/>
      <c r="N168" s="63"/>
      <c r="O168" s="9"/>
      <c r="P168" s="10"/>
      <c r="Q168" s="9"/>
      <c r="R168" s="9"/>
      <c r="S168" s="9"/>
    </row>
    <row r="169" spans="1:19" ht="12.75">
      <c r="A169" s="80" t="s">
        <v>178</v>
      </c>
      <c r="B169" s="79"/>
      <c r="C169" s="79"/>
      <c r="D169" s="79"/>
      <c r="E169" s="79"/>
      <c r="F169" s="79"/>
      <c r="G169" s="79"/>
      <c r="H169" s="79"/>
      <c r="I169" s="65">
        <v>30098</v>
      </c>
      <c r="J169" s="63"/>
      <c r="K169" s="63"/>
      <c r="L169" s="63"/>
      <c r="M169" s="63"/>
      <c r="N169" s="63"/>
      <c r="O169" s="9"/>
      <c r="P169" s="10"/>
      <c r="Q169" s="9"/>
      <c r="R169" s="9"/>
      <c r="S169" s="9"/>
    </row>
    <row r="170" spans="1:19" ht="12.75">
      <c r="A170" s="80" t="s">
        <v>179</v>
      </c>
      <c r="B170" s="79"/>
      <c r="C170" s="79"/>
      <c r="D170" s="79"/>
      <c r="E170" s="79"/>
      <c r="F170" s="79"/>
      <c r="G170" s="79"/>
      <c r="H170" s="79"/>
      <c r="I170" s="65">
        <v>14395</v>
      </c>
      <c r="J170" s="63"/>
      <c r="K170" s="63"/>
      <c r="L170" s="63"/>
      <c r="M170" s="63"/>
      <c r="N170" s="63"/>
      <c r="O170" s="9"/>
      <c r="P170" s="10"/>
      <c r="Q170" s="9"/>
      <c r="R170" s="9"/>
      <c r="S170" s="9"/>
    </row>
    <row r="171" spans="1:19" ht="22.5">
      <c r="A171" s="82" t="s">
        <v>492</v>
      </c>
      <c r="B171" s="83"/>
      <c r="C171" s="83"/>
      <c r="D171" s="83"/>
      <c r="E171" s="83"/>
      <c r="F171" s="83"/>
      <c r="G171" s="83"/>
      <c r="H171" s="83"/>
      <c r="I171" s="70">
        <v>203140</v>
      </c>
      <c r="J171" s="71"/>
      <c r="K171" s="71"/>
      <c r="L171" s="71"/>
      <c r="M171" s="71"/>
      <c r="N171" s="71" t="s">
        <v>479</v>
      </c>
      <c r="O171" s="9"/>
      <c r="P171" s="10"/>
      <c r="Q171" s="9"/>
      <c r="R171" s="9"/>
      <c r="S171" s="9"/>
    </row>
    <row r="172" spans="1:35" ht="17.25" customHeight="1">
      <c r="A172" s="81" t="s">
        <v>493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</row>
    <row r="173" spans="1:35" ht="112.5">
      <c r="A173" s="59">
        <v>56</v>
      </c>
      <c r="B173" s="60" t="s">
        <v>494</v>
      </c>
      <c r="C173" s="61" t="str">
        <f ca="1" t="shared" si="4" ref="C173:C179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Прокладка трубопроводов канализации из полиэтиленовых труб высокой плотности диаметром: 110 мм
100 м трубопровода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3840 руб. НР 98%=128%*(0,85*0,9) от ФОТ (3918 руб.)
2194 руб.СП 56%=83%*(0,8*0,85) от ФОТ (3918 руб.)
</v>
      </c>
      <c r="D173" s="62" t="s">
        <v>495</v>
      </c>
      <c r="E173" s="63" t="s">
        <v>496</v>
      </c>
      <c r="F173" s="63" t="s">
        <v>497</v>
      </c>
      <c r="G173" s="63">
        <v>13535.78</v>
      </c>
      <c r="H173" s="64" t="s">
        <v>498</v>
      </c>
      <c r="I173" s="65">
        <v>16522</v>
      </c>
      <c r="J173" s="63">
        <v>3913</v>
      </c>
      <c r="K173" s="63" t="s">
        <v>499</v>
      </c>
      <c r="L173" s="63" t="str">
        <f>IF(0.363*13535.78=0," ",TEXT(,ROUND((0.363*13535.78*2.56),2)))</f>
        <v>12578.53</v>
      </c>
      <c r="M173" s="63" t="s">
        <v>500</v>
      </c>
      <c r="N173" s="63" t="s">
        <v>501</v>
      </c>
      <c r="O173" s="66"/>
      <c r="P173" s="66"/>
      <c r="Q173" s="66"/>
      <c r="R173" s="66"/>
      <c r="S173" s="66"/>
      <c r="T173" s="67"/>
      <c r="U173" s="67"/>
      <c r="V173" s="67"/>
      <c r="W173" s="67"/>
      <c r="X173" s="67"/>
      <c r="Y173" s="67"/>
      <c r="Z173" s="67"/>
      <c r="AA173" s="67" t="s">
        <v>502</v>
      </c>
      <c r="AB173" s="67" t="s">
        <v>503</v>
      </c>
      <c r="AC173" s="67">
        <v>3840</v>
      </c>
      <c r="AD173" s="67">
        <v>2194</v>
      </c>
      <c r="AE173" s="69" t="s">
        <v>191</v>
      </c>
      <c r="AF173" s="67" t="s">
        <v>504</v>
      </c>
      <c r="AG173" s="67" t="s">
        <v>505</v>
      </c>
      <c r="AH173" s="67"/>
      <c r="AI173" s="67">
        <f>3913+5</f>
        <v>3918</v>
      </c>
    </row>
    <row r="174" spans="1:35" ht="112.5">
      <c r="A174" s="59">
        <v>57</v>
      </c>
      <c r="B174" s="60" t="s">
        <v>506</v>
      </c>
      <c r="C174" s="61" t="str">
        <f ca="1" t="shared" si="4"/>
        <v>Установка пароизоляционного слоя из: пленки полиэтиленовой (без стекловолокнистых материалов)
100 м2 поверхности покрытия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213 руб. НР 77%=100%*(0,85*0,9) от ФОТ (277 руб.)
133 руб.СП 48%=70%*(0,8*0,85) от ФОТ (277 руб.)
</v>
      </c>
      <c r="D174" s="62" t="s">
        <v>507</v>
      </c>
      <c r="E174" s="63" t="s">
        <v>508</v>
      </c>
      <c r="F174" s="63">
        <v>21.79</v>
      </c>
      <c r="G174" s="63">
        <v>1385.68</v>
      </c>
      <c r="H174" s="64" t="s">
        <v>509</v>
      </c>
      <c r="I174" s="65">
        <v>467</v>
      </c>
      <c r="J174" s="63">
        <v>277</v>
      </c>
      <c r="K174" s="63">
        <v>33</v>
      </c>
      <c r="L174" s="63" t="str">
        <f>IF(0.1254*1385.68=0," ",TEXT(,ROUND((0.1254*1385.68*0.9),2)))</f>
        <v>156.39</v>
      </c>
      <c r="M174" s="63">
        <v>14.36</v>
      </c>
      <c r="N174" s="63">
        <v>1.8</v>
      </c>
      <c r="O174" s="66"/>
      <c r="P174" s="66"/>
      <c r="Q174" s="66"/>
      <c r="R174" s="66"/>
      <c r="S174" s="66"/>
      <c r="T174" s="67"/>
      <c r="U174" s="67"/>
      <c r="V174" s="67"/>
      <c r="W174" s="67"/>
      <c r="X174" s="67"/>
      <c r="Y174" s="67"/>
      <c r="Z174" s="67"/>
      <c r="AA174" s="67" t="s">
        <v>228</v>
      </c>
      <c r="AB174" s="67" t="s">
        <v>60</v>
      </c>
      <c r="AC174" s="67">
        <v>213</v>
      </c>
      <c r="AD174" s="67">
        <v>133</v>
      </c>
      <c r="AE174" s="69" t="s">
        <v>191</v>
      </c>
      <c r="AF174" s="67" t="s">
        <v>510</v>
      </c>
      <c r="AG174" s="67" t="s">
        <v>511</v>
      </c>
      <c r="AH174" s="67"/>
      <c r="AI174" s="67">
        <f>277+0</f>
        <v>277</v>
      </c>
    </row>
    <row r="175" spans="1:35" ht="22.5">
      <c r="A175" s="59">
        <v>58</v>
      </c>
      <c r="B175" s="60" t="s">
        <v>512</v>
      </c>
      <c r="C175" s="61" t="str">
        <f ca="1" t="shared" si="4"/>
        <v>Пленка полиэтиленовая толщиной 0,2-0,5 мм, изоловая
м2
</v>
      </c>
      <c r="D175" s="62">
        <v>-14.42</v>
      </c>
      <c r="E175" s="63">
        <v>4.16</v>
      </c>
      <c r="F175" s="63"/>
      <c r="G175" s="63">
        <v>4.16</v>
      </c>
      <c r="H175" s="64" t="s">
        <v>513</v>
      </c>
      <c r="I175" s="65">
        <v>-84</v>
      </c>
      <c r="J175" s="63"/>
      <c r="K175" s="63"/>
      <c r="L175" s="63" t="str">
        <f>IF(-14.42*4.16=0," ",TEXT(,ROUND((-14.42*4.16*1.404),2)))</f>
        <v>-84.22</v>
      </c>
      <c r="M175" s="63"/>
      <c r="N175" s="63"/>
      <c r="O175" s="66"/>
      <c r="P175" s="66"/>
      <c r="Q175" s="66"/>
      <c r="R175" s="66"/>
      <c r="S175" s="66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 t="s">
        <v>514</v>
      </c>
      <c r="AG175" s="67" t="s">
        <v>271</v>
      </c>
      <c r="AH175" s="67"/>
      <c r="AI175" s="67">
        <f>0+0</f>
        <v>0</v>
      </c>
    </row>
    <row r="176" spans="1:35" ht="33.75">
      <c r="A176" s="59">
        <v>59</v>
      </c>
      <c r="B176" s="60" t="s">
        <v>294</v>
      </c>
      <c r="C176" s="61" t="str">
        <f ca="1" t="shared" si="4"/>
        <v>Изоспан: Двухслойная паропроницаемая мембрана марки В
м2
</v>
      </c>
      <c r="D176" s="62">
        <v>14.42</v>
      </c>
      <c r="E176" s="63">
        <v>9.68</v>
      </c>
      <c r="F176" s="63"/>
      <c r="G176" s="63">
        <v>9.68</v>
      </c>
      <c r="H176" s="64" t="s">
        <v>295</v>
      </c>
      <c r="I176" s="65">
        <v>186</v>
      </c>
      <c r="J176" s="63"/>
      <c r="K176" s="63"/>
      <c r="L176" s="63" t="str">
        <f>IF(14.42*9.68=0," ",TEXT(,ROUND((14.42*9.68*1.336),2)))</f>
        <v>186.49</v>
      </c>
      <c r="M176" s="63"/>
      <c r="N176" s="63"/>
      <c r="O176" s="66"/>
      <c r="P176" s="66"/>
      <c r="Q176" s="66"/>
      <c r="R176" s="66"/>
      <c r="S176" s="66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 t="s">
        <v>296</v>
      </c>
      <c r="AG176" s="67" t="s">
        <v>271</v>
      </c>
      <c r="AH176" s="67"/>
      <c r="AI176" s="67">
        <f>0+0</f>
        <v>0</v>
      </c>
    </row>
    <row r="177" spans="1:35" ht="123.75">
      <c r="A177" s="59">
        <v>60</v>
      </c>
      <c r="B177" s="60" t="s">
        <v>515</v>
      </c>
      <c r="C177" s="61" t="str">
        <f ca="1" t="shared" si="4"/>
        <v>Изоляция трубопроводов: матами минераловатными марок 75, 100, плитами минераловатными на синтетическом связующем марки 75
1 м3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5973 руб. НР 77%=100%*(0,85*0,9) от ФОТ (7757 руб.)
3723 руб.СП 48%=70%*(0,8*0,85) от ФОТ (7757 руб.)
</v>
      </c>
      <c r="D177" s="62">
        <v>2.39</v>
      </c>
      <c r="E177" s="63" t="s">
        <v>516</v>
      </c>
      <c r="F177" s="63">
        <v>57.15</v>
      </c>
      <c r="G177" s="63">
        <v>1320.96</v>
      </c>
      <c r="H177" s="64" t="s">
        <v>517</v>
      </c>
      <c r="I177" s="65">
        <v>19175</v>
      </c>
      <c r="J177" s="63">
        <v>7757</v>
      </c>
      <c r="K177" s="63">
        <v>1630</v>
      </c>
      <c r="L177" s="63" t="str">
        <f>IF(2.39*1320.96=0," ",TEXT(,ROUND((2.39*1320.96*3.1),2)))</f>
        <v>9786.99</v>
      </c>
      <c r="M177" s="63">
        <v>18.85</v>
      </c>
      <c r="N177" s="63">
        <v>45.05</v>
      </c>
      <c r="O177" s="66"/>
      <c r="P177" s="66"/>
      <c r="Q177" s="66"/>
      <c r="R177" s="66"/>
      <c r="S177" s="66"/>
      <c r="T177" s="67"/>
      <c r="U177" s="67"/>
      <c r="V177" s="67"/>
      <c r="W177" s="67"/>
      <c r="X177" s="67"/>
      <c r="Y177" s="67"/>
      <c r="Z177" s="67"/>
      <c r="AA177" s="67" t="s">
        <v>228</v>
      </c>
      <c r="AB177" s="67" t="s">
        <v>60</v>
      </c>
      <c r="AC177" s="67">
        <v>5973</v>
      </c>
      <c r="AD177" s="67">
        <v>3723</v>
      </c>
      <c r="AE177" s="69" t="s">
        <v>191</v>
      </c>
      <c r="AF177" s="67" t="s">
        <v>518</v>
      </c>
      <c r="AG177" s="67" t="s">
        <v>519</v>
      </c>
      <c r="AH177" s="67"/>
      <c r="AI177" s="67">
        <f>7757+0</f>
        <v>7757</v>
      </c>
    </row>
    <row r="178" spans="1:35" ht="33.75">
      <c r="A178" s="59">
        <v>61</v>
      </c>
      <c r="B178" s="60" t="s">
        <v>520</v>
      </c>
      <c r="C178" s="61" t="str">
        <f ca="1" t="shared" si="4"/>
        <v>Маты прошивные из минеральной ваты без обкладок М-100, толщина 60 мм
м3
</v>
      </c>
      <c r="D178" s="62">
        <v>-3.681</v>
      </c>
      <c r="E178" s="63">
        <v>542.4</v>
      </c>
      <c r="F178" s="63"/>
      <c r="G178" s="63">
        <v>542.4</v>
      </c>
      <c r="H178" s="64" t="s">
        <v>521</v>
      </c>
      <c r="I178" s="65">
        <v>-6708</v>
      </c>
      <c r="J178" s="63"/>
      <c r="K178" s="63"/>
      <c r="L178" s="63" t="str">
        <f>IF(-3.681*542.4=0," ",TEXT(,ROUND((-3.681*542.4*3.36),2)))</f>
        <v>-6708.49</v>
      </c>
      <c r="M178" s="63"/>
      <c r="N178" s="63"/>
      <c r="O178" s="66"/>
      <c r="P178" s="66"/>
      <c r="Q178" s="66"/>
      <c r="R178" s="66"/>
      <c r="S178" s="66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 t="s">
        <v>522</v>
      </c>
      <c r="AG178" s="67" t="s">
        <v>437</v>
      </c>
      <c r="AH178" s="67"/>
      <c r="AI178" s="67">
        <f>0+0</f>
        <v>0</v>
      </c>
    </row>
    <row r="179" spans="1:35" ht="25.5">
      <c r="A179" s="59">
        <v>62</v>
      </c>
      <c r="B179" s="60" t="s">
        <v>523</v>
      </c>
      <c r="C179" s="61" t="str">
        <f ca="1" t="shared" si="4"/>
        <v>Утеплитель URSA: М 15, толщиной 50 мм
м2
</v>
      </c>
      <c r="D179" s="62">
        <v>23.9</v>
      </c>
      <c r="E179" s="63">
        <v>33.3</v>
      </c>
      <c r="F179" s="63"/>
      <c r="G179" s="63">
        <v>33.3</v>
      </c>
      <c r="H179" s="64" t="s">
        <v>524</v>
      </c>
      <c r="I179" s="65">
        <v>1534</v>
      </c>
      <c r="J179" s="63"/>
      <c r="K179" s="63"/>
      <c r="L179" s="63" t="str">
        <f>IF(23.9*33.3=0," ",TEXT(,ROUND((23.9*33.3*1.928),2)))</f>
        <v>1534.44</v>
      </c>
      <c r="M179" s="63"/>
      <c r="N179" s="63"/>
      <c r="O179" s="66"/>
      <c r="P179" s="66"/>
      <c r="Q179" s="66"/>
      <c r="R179" s="66"/>
      <c r="S179" s="66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 t="s">
        <v>525</v>
      </c>
      <c r="AG179" s="67" t="s">
        <v>271</v>
      </c>
      <c r="AH179" s="67"/>
      <c r="AI179" s="67">
        <f>0+0</f>
        <v>0</v>
      </c>
    </row>
    <row r="180" spans="1:19" ht="22.5">
      <c r="A180" s="80" t="s">
        <v>148</v>
      </c>
      <c r="B180" s="79"/>
      <c r="C180" s="79"/>
      <c r="D180" s="79"/>
      <c r="E180" s="79"/>
      <c r="F180" s="79"/>
      <c r="G180" s="79"/>
      <c r="H180" s="79"/>
      <c r="I180" s="65">
        <v>29195</v>
      </c>
      <c r="J180" s="63">
        <v>10389</v>
      </c>
      <c r="K180" s="63" t="s">
        <v>526</v>
      </c>
      <c r="L180" s="63">
        <v>17451</v>
      </c>
      <c r="M180" s="63"/>
      <c r="N180" s="63" t="s">
        <v>527</v>
      </c>
      <c r="O180" s="9"/>
      <c r="P180" s="10"/>
      <c r="Q180" s="9"/>
      <c r="R180" s="9"/>
      <c r="S180" s="9"/>
    </row>
    <row r="181" spans="1:19" ht="22.5">
      <c r="A181" s="80" t="s">
        <v>398</v>
      </c>
      <c r="B181" s="79"/>
      <c r="C181" s="79"/>
      <c r="D181" s="79"/>
      <c r="E181" s="79"/>
      <c r="F181" s="79"/>
      <c r="G181" s="79"/>
      <c r="H181" s="79"/>
      <c r="I181" s="65">
        <v>31092</v>
      </c>
      <c r="J181" s="63">
        <v>11947</v>
      </c>
      <c r="K181" s="63" t="s">
        <v>528</v>
      </c>
      <c r="L181" s="63">
        <v>17451</v>
      </c>
      <c r="M181" s="63"/>
      <c r="N181" s="63" t="s">
        <v>529</v>
      </c>
      <c r="O181" s="9"/>
      <c r="P181" s="10"/>
      <c r="Q181" s="9"/>
      <c r="R181" s="9"/>
      <c r="S181" s="9"/>
    </row>
    <row r="182" spans="1:19" ht="12.75">
      <c r="A182" s="80" t="s">
        <v>152</v>
      </c>
      <c r="B182" s="79"/>
      <c r="C182" s="79"/>
      <c r="D182" s="79"/>
      <c r="E182" s="79"/>
      <c r="F182" s="79"/>
      <c r="G182" s="79"/>
      <c r="H182" s="79"/>
      <c r="I182" s="65"/>
      <c r="J182" s="63"/>
      <c r="K182" s="63"/>
      <c r="L182" s="63"/>
      <c r="M182" s="63"/>
      <c r="N182" s="63"/>
      <c r="O182" s="9"/>
      <c r="P182" s="10"/>
      <c r="Q182" s="9"/>
      <c r="R182" s="9"/>
      <c r="S182" s="9"/>
    </row>
    <row r="183" spans="1:19" ht="28.5" customHeight="1">
      <c r="A183" s="80" t="s">
        <v>530</v>
      </c>
      <c r="B183" s="79"/>
      <c r="C183" s="79"/>
      <c r="D183" s="79"/>
      <c r="E183" s="79"/>
      <c r="F183" s="79"/>
      <c r="G183" s="79"/>
      <c r="H183" s="79"/>
      <c r="I183" s="65">
        <v>1897</v>
      </c>
      <c r="J183" s="63">
        <v>1558</v>
      </c>
      <c r="K183" s="63" t="s">
        <v>531</v>
      </c>
      <c r="L183" s="63"/>
      <c r="M183" s="63"/>
      <c r="N183" s="63" t="s">
        <v>532</v>
      </c>
      <c r="O183" s="9"/>
      <c r="P183" s="10"/>
      <c r="Q183" s="9"/>
      <c r="R183" s="9"/>
      <c r="S183" s="9"/>
    </row>
    <row r="184" spans="1:19" ht="12.75">
      <c r="A184" s="80" t="s">
        <v>151</v>
      </c>
      <c r="B184" s="79"/>
      <c r="C184" s="79"/>
      <c r="D184" s="79"/>
      <c r="E184" s="79"/>
      <c r="F184" s="79"/>
      <c r="G184" s="79"/>
      <c r="H184" s="79"/>
      <c r="I184" s="65">
        <v>10026</v>
      </c>
      <c r="J184" s="63"/>
      <c r="K184" s="63"/>
      <c r="L184" s="63"/>
      <c r="M184" s="63"/>
      <c r="N184" s="63"/>
      <c r="O184" s="9"/>
      <c r="P184" s="10"/>
      <c r="Q184" s="9"/>
      <c r="R184" s="9"/>
      <c r="S184" s="9"/>
    </row>
    <row r="185" spans="1:19" ht="12.75">
      <c r="A185" s="80" t="s">
        <v>152</v>
      </c>
      <c r="B185" s="79"/>
      <c r="C185" s="79"/>
      <c r="D185" s="79"/>
      <c r="E185" s="79"/>
      <c r="F185" s="79"/>
      <c r="G185" s="79"/>
      <c r="H185" s="79"/>
      <c r="I185" s="65"/>
      <c r="J185" s="63"/>
      <c r="K185" s="63"/>
      <c r="L185" s="63"/>
      <c r="M185" s="63"/>
      <c r="N185" s="63"/>
      <c r="O185" s="9"/>
      <c r="P185" s="10"/>
      <c r="Q185" s="9"/>
      <c r="R185" s="9"/>
      <c r="S185" s="9"/>
    </row>
    <row r="186" spans="1:19" ht="12.75">
      <c r="A186" s="80" t="s">
        <v>533</v>
      </c>
      <c r="B186" s="79"/>
      <c r="C186" s="79"/>
      <c r="D186" s="79"/>
      <c r="E186" s="79"/>
      <c r="F186" s="79"/>
      <c r="G186" s="79"/>
      <c r="H186" s="79"/>
      <c r="I186" s="65">
        <v>6186</v>
      </c>
      <c r="J186" s="63"/>
      <c r="K186" s="63"/>
      <c r="L186" s="63"/>
      <c r="M186" s="63"/>
      <c r="N186" s="63"/>
      <c r="O186" s="9"/>
      <c r="P186" s="10"/>
      <c r="Q186" s="9"/>
      <c r="R186" s="9"/>
      <c r="S186" s="9"/>
    </row>
    <row r="187" spans="1:19" ht="12.75">
      <c r="A187" s="80" t="s">
        <v>534</v>
      </c>
      <c r="B187" s="79"/>
      <c r="C187" s="79"/>
      <c r="D187" s="79"/>
      <c r="E187" s="79"/>
      <c r="F187" s="79"/>
      <c r="G187" s="79"/>
      <c r="H187" s="79"/>
      <c r="I187" s="65">
        <v>3840</v>
      </c>
      <c r="J187" s="63"/>
      <c r="K187" s="63"/>
      <c r="L187" s="63"/>
      <c r="M187" s="63"/>
      <c r="N187" s="63"/>
      <c r="O187" s="9"/>
      <c r="P187" s="10"/>
      <c r="Q187" s="9"/>
      <c r="R187" s="9"/>
      <c r="S187" s="9"/>
    </row>
    <row r="188" spans="1:19" ht="12.75">
      <c r="A188" s="80" t="s">
        <v>158</v>
      </c>
      <c r="B188" s="79"/>
      <c r="C188" s="79"/>
      <c r="D188" s="79"/>
      <c r="E188" s="79"/>
      <c r="F188" s="79"/>
      <c r="G188" s="79"/>
      <c r="H188" s="79"/>
      <c r="I188" s="65">
        <v>6050</v>
      </c>
      <c r="J188" s="63"/>
      <c r="K188" s="63"/>
      <c r="L188" s="63"/>
      <c r="M188" s="63"/>
      <c r="N188" s="63"/>
      <c r="O188" s="9"/>
      <c r="P188" s="10"/>
      <c r="Q188" s="9"/>
      <c r="R188" s="9"/>
      <c r="S188" s="9"/>
    </row>
    <row r="189" spans="1:19" ht="12.75">
      <c r="A189" s="80" t="s">
        <v>152</v>
      </c>
      <c r="B189" s="79"/>
      <c r="C189" s="79"/>
      <c r="D189" s="79"/>
      <c r="E189" s="79"/>
      <c r="F189" s="79"/>
      <c r="G189" s="79"/>
      <c r="H189" s="79"/>
      <c r="I189" s="65"/>
      <c r="J189" s="63"/>
      <c r="K189" s="63"/>
      <c r="L189" s="63"/>
      <c r="M189" s="63"/>
      <c r="N189" s="63"/>
      <c r="O189" s="9"/>
      <c r="P189" s="10"/>
      <c r="Q189" s="9"/>
      <c r="R189" s="9"/>
      <c r="S189" s="9"/>
    </row>
    <row r="190" spans="1:19" ht="12.75">
      <c r="A190" s="80" t="s">
        <v>535</v>
      </c>
      <c r="B190" s="79"/>
      <c r="C190" s="79"/>
      <c r="D190" s="79"/>
      <c r="E190" s="79"/>
      <c r="F190" s="79"/>
      <c r="G190" s="79"/>
      <c r="H190" s="79"/>
      <c r="I190" s="65">
        <v>3856</v>
      </c>
      <c r="J190" s="63"/>
      <c r="K190" s="63"/>
      <c r="L190" s="63"/>
      <c r="M190" s="63"/>
      <c r="N190" s="63"/>
      <c r="O190" s="9"/>
      <c r="P190" s="10"/>
      <c r="Q190" s="9"/>
      <c r="R190" s="9"/>
      <c r="S190" s="9"/>
    </row>
    <row r="191" spans="1:19" ht="12.75">
      <c r="A191" s="80" t="s">
        <v>536</v>
      </c>
      <c r="B191" s="79"/>
      <c r="C191" s="79"/>
      <c r="D191" s="79"/>
      <c r="E191" s="79"/>
      <c r="F191" s="79"/>
      <c r="G191" s="79"/>
      <c r="H191" s="79"/>
      <c r="I191" s="65">
        <v>2194</v>
      </c>
      <c r="J191" s="63"/>
      <c r="K191" s="63"/>
      <c r="L191" s="63"/>
      <c r="M191" s="63"/>
      <c r="N191" s="63"/>
      <c r="O191" s="9"/>
      <c r="P191" s="10"/>
      <c r="Q191" s="9"/>
      <c r="R191" s="9"/>
      <c r="S191" s="9"/>
    </row>
    <row r="192" spans="1:19" ht="12.75">
      <c r="A192" s="81" t="s">
        <v>537</v>
      </c>
      <c r="B192" s="77"/>
      <c r="C192" s="77"/>
      <c r="D192" s="77"/>
      <c r="E192" s="77"/>
      <c r="F192" s="77"/>
      <c r="G192" s="77"/>
      <c r="H192" s="77"/>
      <c r="I192" s="65"/>
      <c r="J192" s="63"/>
      <c r="K192" s="63"/>
      <c r="L192" s="63"/>
      <c r="M192" s="63"/>
      <c r="N192" s="63"/>
      <c r="O192" s="9"/>
      <c r="P192" s="10"/>
      <c r="Q192" s="9"/>
      <c r="R192" s="9"/>
      <c r="S192" s="9"/>
    </row>
    <row r="193" spans="1:19" ht="22.5">
      <c r="A193" s="80" t="s">
        <v>538</v>
      </c>
      <c r="B193" s="79"/>
      <c r="C193" s="79"/>
      <c r="D193" s="79"/>
      <c r="E193" s="79"/>
      <c r="F193" s="79"/>
      <c r="G193" s="79"/>
      <c r="H193" s="79"/>
      <c r="I193" s="65">
        <v>22556</v>
      </c>
      <c r="J193" s="63"/>
      <c r="K193" s="63"/>
      <c r="L193" s="63"/>
      <c r="M193" s="63"/>
      <c r="N193" s="63" t="s">
        <v>539</v>
      </c>
      <c r="O193" s="9"/>
      <c r="P193" s="10"/>
      <c r="Q193" s="9"/>
      <c r="R193" s="9"/>
      <c r="S193" s="9"/>
    </row>
    <row r="194" spans="1:19" ht="12.75">
      <c r="A194" s="80" t="s">
        <v>540</v>
      </c>
      <c r="B194" s="79"/>
      <c r="C194" s="79"/>
      <c r="D194" s="79"/>
      <c r="E194" s="79"/>
      <c r="F194" s="79"/>
      <c r="G194" s="79"/>
      <c r="H194" s="79"/>
      <c r="I194" s="65">
        <v>29684</v>
      </c>
      <c r="J194" s="63"/>
      <c r="K194" s="63"/>
      <c r="L194" s="63"/>
      <c r="M194" s="63"/>
      <c r="N194" s="63">
        <v>53.88</v>
      </c>
      <c r="O194" s="9"/>
      <c r="P194" s="10"/>
      <c r="Q194" s="9"/>
      <c r="R194" s="9"/>
      <c r="S194" s="9"/>
    </row>
    <row r="195" spans="1:19" ht="12.75">
      <c r="A195" s="80" t="s">
        <v>490</v>
      </c>
      <c r="B195" s="79"/>
      <c r="C195" s="79"/>
      <c r="D195" s="79"/>
      <c r="E195" s="79"/>
      <c r="F195" s="79"/>
      <c r="G195" s="79"/>
      <c r="H195" s="79"/>
      <c r="I195" s="65">
        <v>-5072</v>
      </c>
      <c r="J195" s="63"/>
      <c r="K195" s="63"/>
      <c r="L195" s="63"/>
      <c r="M195" s="63"/>
      <c r="N195" s="63"/>
      <c r="O195" s="9"/>
      <c r="P195" s="10"/>
      <c r="Q195" s="9"/>
      <c r="R195" s="9"/>
      <c r="S195" s="9"/>
    </row>
    <row r="196" spans="1:19" ht="22.5">
      <c r="A196" s="80" t="s">
        <v>174</v>
      </c>
      <c r="B196" s="79"/>
      <c r="C196" s="79"/>
      <c r="D196" s="79"/>
      <c r="E196" s="79"/>
      <c r="F196" s="79"/>
      <c r="G196" s="79"/>
      <c r="H196" s="79"/>
      <c r="I196" s="65">
        <v>47168</v>
      </c>
      <c r="J196" s="63"/>
      <c r="K196" s="63"/>
      <c r="L196" s="63"/>
      <c r="M196" s="63"/>
      <c r="N196" s="63" t="s">
        <v>529</v>
      </c>
      <c r="O196" s="9"/>
      <c r="P196" s="10"/>
      <c r="Q196" s="9"/>
      <c r="R196" s="9"/>
      <c r="S196" s="9"/>
    </row>
    <row r="197" spans="1:19" ht="12.75">
      <c r="A197" s="80" t="s">
        <v>175</v>
      </c>
      <c r="B197" s="79"/>
      <c r="C197" s="79"/>
      <c r="D197" s="79"/>
      <c r="E197" s="79"/>
      <c r="F197" s="79"/>
      <c r="G197" s="79"/>
      <c r="H197" s="79"/>
      <c r="I197" s="65"/>
      <c r="J197" s="63"/>
      <c r="K197" s="63"/>
      <c r="L197" s="63"/>
      <c r="M197" s="63"/>
      <c r="N197" s="63"/>
      <c r="O197" s="9"/>
      <c r="P197" s="10"/>
      <c r="Q197" s="9"/>
      <c r="R197" s="9"/>
      <c r="S197" s="9"/>
    </row>
    <row r="198" spans="1:19" ht="12.75">
      <c r="A198" s="80" t="s">
        <v>421</v>
      </c>
      <c r="B198" s="79"/>
      <c r="C198" s="79"/>
      <c r="D198" s="79"/>
      <c r="E198" s="79"/>
      <c r="F198" s="79"/>
      <c r="G198" s="79"/>
      <c r="H198" s="79"/>
      <c r="I198" s="65">
        <v>17451</v>
      </c>
      <c r="J198" s="63"/>
      <c r="K198" s="63"/>
      <c r="L198" s="63"/>
      <c r="M198" s="63"/>
      <c r="N198" s="63"/>
      <c r="O198" s="9"/>
      <c r="P198" s="10"/>
      <c r="Q198" s="9"/>
      <c r="R198" s="9"/>
      <c r="S198" s="9"/>
    </row>
    <row r="199" spans="1:19" ht="12.75">
      <c r="A199" s="80" t="s">
        <v>176</v>
      </c>
      <c r="B199" s="79"/>
      <c r="C199" s="79"/>
      <c r="D199" s="79"/>
      <c r="E199" s="79"/>
      <c r="F199" s="79"/>
      <c r="G199" s="79"/>
      <c r="H199" s="79"/>
      <c r="I199" s="65">
        <v>1694</v>
      </c>
      <c r="J199" s="63"/>
      <c r="K199" s="63"/>
      <c r="L199" s="63"/>
      <c r="M199" s="63"/>
      <c r="N199" s="63"/>
      <c r="O199" s="9"/>
      <c r="P199" s="10"/>
      <c r="Q199" s="9"/>
      <c r="R199" s="9"/>
      <c r="S199" s="9"/>
    </row>
    <row r="200" spans="1:19" ht="12.75">
      <c r="A200" s="80" t="s">
        <v>177</v>
      </c>
      <c r="B200" s="79"/>
      <c r="C200" s="79"/>
      <c r="D200" s="79"/>
      <c r="E200" s="79"/>
      <c r="F200" s="79"/>
      <c r="G200" s="79"/>
      <c r="H200" s="79"/>
      <c r="I200" s="65">
        <v>11952</v>
      </c>
      <c r="J200" s="63"/>
      <c r="K200" s="63"/>
      <c r="L200" s="63"/>
      <c r="M200" s="63"/>
      <c r="N200" s="63"/>
      <c r="O200" s="9"/>
      <c r="P200" s="10"/>
      <c r="Q200" s="9"/>
      <c r="R200" s="9"/>
      <c r="S200" s="9"/>
    </row>
    <row r="201" spans="1:19" ht="12.75">
      <c r="A201" s="80" t="s">
        <v>178</v>
      </c>
      <c r="B201" s="79"/>
      <c r="C201" s="79"/>
      <c r="D201" s="79"/>
      <c r="E201" s="79"/>
      <c r="F201" s="79"/>
      <c r="G201" s="79"/>
      <c r="H201" s="79"/>
      <c r="I201" s="65">
        <v>10026</v>
      </c>
      <c r="J201" s="63"/>
      <c r="K201" s="63"/>
      <c r="L201" s="63"/>
      <c r="M201" s="63"/>
      <c r="N201" s="63"/>
      <c r="O201" s="9"/>
      <c r="P201" s="10"/>
      <c r="Q201" s="9"/>
      <c r="R201" s="9"/>
      <c r="S201" s="9"/>
    </row>
    <row r="202" spans="1:19" ht="12.75">
      <c r="A202" s="80" t="s">
        <v>179</v>
      </c>
      <c r="B202" s="79"/>
      <c r="C202" s="79"/>
      <c r="D202" s="79"/>
      <c r="E202" s="79"/>
      <c r="F202" s="79"/>
      <c r="G202" s="79"/>
      <c r="H202" s="79"/>
      <c r="I202" s="65">
        <v>6050</v>
      </c>
      <c r="J202" s="63"/>
      <c r="K202" s="63"/>
      <c r="L202" s="63"/>
      <c r="M202" s="63"/>
      <c r="N202" s="63"/>
      <c r="O202" s="9"/>
      <c r="P202" s="10"/>
      <c r="Q202" s="9"/>
      <c r="R202" s="9"/>
      <c r="S202" s="9"/>
    </row>
    <row r="203" spans="1:19" ht="22.5">
      <c r="A203" s="82" t="s">
        <v>541</v>
      </c>
      <c r="B203" s="83"/>
      <c r="C203" s="83"/>
      <c r="D203" s="83"/>
      <c r="E203" s="83"/>
      <c r="F203" s="83"/>
      <c r="G203" s="83"/>
      <c r="H203" s="83"/>
      <c r="I203" s="70">
        <v>47168</v>
      </c>
      <c r="J203" s="71"/>
      <c r="K203" s="71"/>
      <c r="L203" s="71"/>
      <c r="M203" s="71"/>
      <c r="N203" s="71" t="s">
        <v>529</v>
      </c>
      <c r="O203" s="9"/>
      <c r="P203" s="10"/>
      <c r="Q203" s="9"/>
      <c r="R203" s="9"/>
      <c r="S203" s="9"/>
    </row>
    <row r="204" spans="1:35" ht="17.25" customHeight="1">
      <c r="A204" s="81" t="s">
        <v>542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</row>
    <row r="205" spans="1:35" ht="101.25">
      <c r="A205" s="59">
        <v>63</v>
      </c>
      <c r="B205" s="60" t="s">
        <v>543</v>
      </c>
      <c r="C205" s="61" t="str">
        <f ca="1" t="shared" si="5" ref="C205:C222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Кладка стен приямков и каналов
1 м3 кладки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6985 руб. НР 93%=122%*(0,85*0,9) от ФОТ (7511 руб.)
4056 руб.СП 54%=80%*(0,8*0,85) от ФОТ (7511 руб.)
</v>
      </c>
      <c r="D205" s="62">
        <v>6.641</v>
      </c>
      <c r="E205" s="63" t="s">
        <v>544</v>
      </c>
      <c r="F205" s="63" t="s">
        <v>545</v>
      </c>
      <c r="G205" s="63">
        <v>823.32</v>
      </c>
      <c r="H205" s="64" t="s">
        <v>546</v>
      </c>
      <c r="I205" s="65">
        <v>34232</v>
      </c>
      <c r="J205" s="63">
        <v>6892</v>
      </c>
      <c r="K205" s="63" t="s">
        <v>547</v>
      </c>
      <c r="L205" s="63" t="str">
        <f>IF(6.641*823.32=0," ",TEXT(,ROUND((6.641*823.32*4.46),2)))</f>
        <v>24385.8</v>
      </c>
      <c r="M205" s="63" t="s">
        <v>548</v>
      </c>
      <c r="N205" s="63" t="s">
        <v>549</v>
      </c>
      <c r="O205" s="66"/>
      <c r="P205" s="66"/>
      <c r="Q205" s="66"/>
      <c r="R205" s="66"/>
      <c r="S205" s="66"/>
      <c r="T205" s="67"/>
      <c r="U205" s="67"/>
      <c r="V205" s="67"/>
      <c r="W205" s="67"/>
      <c r="X205" s="67"/>
      <c r="Y205" s="67"/>
      <c r="Z205" s="67"/>
      <c r="AA205" s="67" t="s">
        <v>189</v>
      </c>
      <c r="AB205" s="67" t="s">
        <v>190</v>
      </c>
      <c r="AC205" s="67">
        <v>6985</v>
      </c>
      <c r="AD205" s="67">
        <v>4056</v>
      </c>
      <c r="AE205" s="69" t="s">
        <v>191</v>
      </c>
      <c r="AF205" s="67" t="s">
        <v>550</v>
      </c>
      <c r="AG205" s="67" t="s">
        <v>193</v>
      </c>
      <c r="AH205" s="67"/>
      <c r="AI205" s="67">
        <f>6892+619</f>
        <v>7511</v>
      </c>
    </row>
    <row r="206" spans="1:35" ht="112.5">
      <c r="A206" s="59">
        <v>64</v>
      </c>
      <c r="B206" s="60" t="s">
        <v>551</v>
      </c>
      <c r="C206" s="61" t="str">
        <f ca="1" t="shared" si="5"/>
        <v>Штукатурка поверхностей внутри здания известковым раствором простая: по камню и бетону стен
100 м2 оштукатуриваемой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5848 руб. НР 80%=105%*(0,85*0,9) от ФОТ (7310 руб.)
2705 руб.СП 37%=55%*(0,8*0,85) от ФОТ (7310 руб.)
</v>
      </c>
      <c r="D206" s="62" t="s">
        <v>552</v>
      </c>
      <c r="E206" s="63" t="s">
        <v>553</v>
      </c>
      <c r="F206" s="63" t="s">
        <v>554</v>
      </c>
      <c r="G206" s="63">
        <v>810.45</v>
      </c>
      <c r="H206" s="64" t="s">
        <v>555</v>
      </c>
      <c r="I206" s="65">
        <v>9969</v>
      </c>
      <c r="J206" s="63">
        <v>6692</v>
      </c>
      <c r="K206" s="63" t="s">
        <v>556</v>
      </c>
      <c r="L206" s="63" t="str">
        <f>IF(0.637*810.45=0," ",TEXT(,ROUND((0.637*810.45*4.77),2)))</f>
        <v>2462.54</v>
      </c>
      <c r="M206" s="63" t="s">
        <v>557</v>
      </c>
      <c r="N206" s="63" t="s">
        <v>558</v>
      </c>
      <c r="O206" s="66"/>
      <c r="P206" s="66"/>
      <c r="Q206" s="66"/>
      <c r="R206" s="66"/>
      <c r="S206" s="66"/>
      <c r="T206" s="67"/>
      <c r="U206" s="67"/>
      <c r="V206" s="67"/>
      <c r="W206" s="67"/>
      <c r="X206" s="67"/>
      <c r="Y206" s="67"/>
      <c r="Z206" s="67"/>
      <c r="AA206" s="67" t="s">
        <v>559</v>
      </c>
      <c r="AB206" s="67" t="s">
        <v>560</v>
      </c>
      <c r="AC206" s="67">
        <v>5848</v>
      </c>
      <c r="AD206" s="67">
        <v>2705</v>
      </c>
      <c r="AE206" s="69" t="s">
        <v>191</v>
      </c>
      <c r="AF206" s="67" t="s">
        <v>561</v>
      </c>
      <c r="AG206" s="67" t="s">
        <v>562</v>
      </c>
      <c r="AH206" s="67"/>
      <c r="AI206" s="67">
        <f>6692+618</f>
        <v>7310</v>
      </c>
    </row>
    <row r="207" spans="1:35" ht="112.5">
      <c r="A207" s="59">
        <v>65</v>
      </c>
      <c r="B207" s="60" t="s">
        <v>506</v>
      </c>
      <c r="C207" s="61" t="str">
        <f ca="1" t="shared" si="5"/>
        <v>Установка пароизоляционного слоя из: пленки полиэтиленовой (без стекловолокнистых материалов)
100 м2 поверхности покрытия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1086 руб. НР 77%=100%*(0,85*0,9) от ФОТ (1410 руб.)
677 руб.СП 48%=70%*(0,8*0,85) от ФОТ (1410 руб.)
</v>
      </c>
      <c r="D207" s="62" t="s">
        <v>552</v>
      </c>
      <c r="E207" s="63" t="s">
        <v>508</v>
      </c>
      <c r="F207" s="63">
        <v>21.79</v>
      </c>
      <c r="G207" s="63">
        <v>1385.68</v>
      </c>
      <c r="H207" s="64" t="s">
        <v>509</v>
      </c>
      <c r="I207" s="65">
        <v>2371</v>
      </c>
      <c r="J207" s="63">
        <v>1410</v>
      </c>
      <c r="K207" s="63">
        <v>166</v>
      </c>
      <c r="L207" s="63" t="str">
        <f>IF(0.637*1385.68=0," ",TEXT(,ROUND((0.637*1385.68*0.9),2)))</f>
        <v>794.41</v>
      </c>
      <c r="M207" s="63">
        <v>14.36</v>
      </c>
      <c r="N207" s="63">
        <v>9.15</v>
      </c>
      <c r="O207" s="66"/>
      <c r="P207" s="66"/>
      <c r="Q207" s="66"/>
      <c r="R207" s="66"/>
      <c r="S207" s="66"/>
      <c r="T207" s="67"/>
      <c r="U207" s="67"/>
      <c r="V207" s="67"/>
      <c r="W207" s="67"/>
      <c r="X207" s="67"/>
      <c r="Y207" s="67"/>
      <c r="Z207" s="67"/>
      <c r="AA207" s="67" t="s">
        <v>228</v>
      </c>
      <c r="AB207" s="67" t="s">
        <v>60</v>
      </c>
      <c r="AC207" s="67">
        <v>1086</v>
      </c>
      <c r="AD207" s="67">
        <v>677</v>
      </c>
      <c r="AE207" s="69" t="s">
        <v>191</v>
      </c>
      <c r="AF207" s="67" t="s">
        <v>510</v>
      </c>
      <c r="AG207" s="67" t="s">
        <v>511</v>
      </c>
      <c r="AH207" s="67"/>
      <c r="AI207" s="67">
        <f>1410+0</f>
        <v>1410</v>
      </c>
    </row>
    <row r="208" spans="1:35" ht="22.5">
      <c r="A208" s="59">
        <v>66</v>
      </c>
      <c r="B208" s="60" t="s">
        <v>563</v>
      </c>
      <c r="C208" s="61" t="str">
        <f ca="1" t="shared" si="5"/>
        <v>Пленка полиэтиленовая толщиной 0,2-0,5 мм, изоловая
м2
</v>
      </c>
      <c r="D208" s="62">
        <v>-73.26</v>
      </c>
      <c r="E208" s="63">
        <v>4.82</v>
      </c>
      <c r="F208" s="63"/>
      <c r="G208" s="63">
        <v>4.82</v>
      </c>
      <c r="H208" s="64" t="s">
        <v>564</v>
      </c>
      <c r="I208" s="65">
        <v>-428</v>
      </c>
      <c r="J208" s="63"/>
      <c r="K208" s="63"/>
      <c r="L208" s="63" t="str">
        <f>IF(-73.26*4.82=0," ",TEXT(,ROUND((-73.26*4.82*1.212),2)))</f>
        <v>-427.97</v>
      </c>
      <c r="M208" s="63"/>
      <c r="N208" s="63"/>
      <c r="O208" s="66"/>
      <c r="P208" s="66"/>
      <c r="Q208" s="66"/>
      <c r="R208" s="66"/>
      <c r="S208" s="66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 t="s">
        <v>514</v>
      </c>
      <c r="AG208" s="67" t="s">
        <v>271</v>
      </c>
      <c r="AH208" s="67"/>
      <c r="AI208" s="67">
        <f>0+0</f>
        <v>0</v>
      </c>
    </row>
    <row r="209" spans="1:35" ht="33.75">
      <c r="A209" s="59">
        <v>67</v>
      </c>
      <c r="B209" s="60" t="s">
        <v>294</v>
      </c>
      <c r="C209" s="61" t="str">
        <f ca="1" t="shared" si="5"/>
        <v>Изоспан: Двухслойная паропроницаемая мембрана марки В
м2
</v>
      </c>
      <c r="D209" s="62">
        <v>73.26</v>
      </c>
      <c r="E209" s="63">
        <v>9.68</v>
      </c>
      <c r="F209" s="63"/>
      <c r="G209" s="63">
        <v>9.68</v>
      </c>
      <c r="H209" s="64" t="s">
        <v>295</v>
      </c>
      <c r="I209" s="65">
        <v>947</v>
      </c>
      <c r="J209" s="63"/>
      <c r="K209" s="63"/>
      <c r="L209" s="63" t="str">
        <f>IF(73.26*9.68=0," ",TEXT(,ROUND((73.26*9.68*1.336),2)))</f>
        <v>947.43</v>
      </c>
      <c r="M209" s="63"/>
      <c r="N209" s="63"/>
      <c r="O209" s="66"/>
      <c r="P209" s="66"/>
      <c r="Q209" s="66"/>
      <c r="R209" s="66"/>
      <c r="S209" s="66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 t="s">
        <v>296</v>
      </c>
      <c r="AG209" s="67" t="s">
        <v>271</v>
      </c>
      <c r="AH209" s="67"/>
      <c r="AI209" s="67">
        <f>0+0</f>
        <v>0</v>
      </c>
    </row>
    <row r="210" spans="1:35" ht="123.75">
      <c r="A210" s="59">
        <v>68</v>
      </c>
      <c r="B210" s="60" t="s">
        <v>565</v>
      </c>
      <c r="C210" s="61" t="str">
        <f ca="1" t="shared" si="5"/>
        <v>Изоляция изделиями из волокнистых и зернистых материалов с креплением на клее и дюбелями холодных поверхностей: наружных стен
100 м2 поверхности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1149 руб. НР 77%=100%*(0,85*0,9) от ФОТ (1492 руб.)
716 руб.СП 48%=70%*(0,8*0,85) от ФОТ (1492 руб.)
</v>
      </c>
      <c r="D210" s="62" t="s">
        <v>552</v>
      </c>
      <c r="E210" s="63" t="s">
        <v>566</v>
      </c>
      <c r="F210" s="63" t="s">
        <v>567</v>
      </c>
      <c r="G210" s="63">
        <v>105.45</v>
      </c>
      <c r="H210" s="64" t="s">
        <v>568</v>
      </c>
      <c r="I210" s="65">
        <v>1659</v>
      </c>
      <c r="J210" s="63">
        <v>1487</v>
      </c>
      <c r="K210" s="63" t="s">
        <v>569</v>
      </c>
      <c r="L210" s="63" t="str">
        <f>IF(0.637*105.45=0," ",TEXT(,ROUND((0.637*105.45*1.63),2)))</f>
        <v>109.49</v>
      </c>
      <c r="M210" s="63" t="s">
        <v>570</v>
      </c>
      <c r="N210" s="63" t="s">
        <v>571</v>
      </c>
      <c r="O210" s="66"/>
      <c r="P210" s="66"/>
      <c r="Q210" s="66"/>
      <c r="R210" s="66"/>
      <c r="S210" s="66"/>
      <c r="T210" s="67"/>
      <c r="U210" s="67"/>
      <c r="V210" s="67"/>
      <c r="W210" s="67"/>
      <c r="X210" s="67"/>
      <c r="Y210" s="67"/>
      <c r="Z210" s="67"/>
      <c r="AA210" s="67" t="s">
        <v>228</v>
      </c>
      <c r="AB210" s="67" t="s">
        <v>60</v>
      </c>
      <c r="AC210" s="67">
        <v>1149</v>
      </c>
      <c r="AD210" s="67">
        <v>716</v>
      </c>
      <c r="AE210" s="69" t="s">
        <v>191</v>
      </c>
      <c r="AF210" s="67" t="s">
        <v>572</v>
      </c>
      <c r="AG210" s="67" t="s">
        <v>573</v>
      </c>
      <c r="AH210" s="67"/>
      <c r="AI210" s="67">
        <f>1487+5</f>
        <v>1492</v>
      </c>
    </row>
    <row r="211" spans="1:35" ht="90">
      <c r="A211" s="59">
        <v>69</v>
      </c>
      <c r="B211" s="60" t="s">
        <v>574</v>
      </c>
      <c r="C211" s="61" t="str">
        <f ca="1" t="shared" si="5"/>
        <v>Дюбель распорный с металлическим стержнем 10х150 мм
10 шт.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</v>
      </c>
      <c r="D211" s="62" t="s">
        <v>575</v>
      </c>
      <c r="E211" s="63">
        <v>6.62</v>
      </c>
      <c r="F211" s="63"/>
      <c r="G211" s="63">
        <v>6.62</v>
      </c>
      <c r="H211" s="64" t="s">
        <v>576</v>
      </c>
      <c r="I211" s="65">
        <v>2181</v>
      </c>
      <c r="J211" s="63"/>
      <c r="K211" s="63"/>
      <c r="L211" s="63" t="str">
        <f>IF(31.8*6.62=0," ",TEXT(,ROUND((31.8*6.62*10.361),2)))</f>
        <v>2181.16</v>
      </c>
      <c r="M211" s="63"/>
      <c r="N211" s="63"/>
      <c r="O211" s="66"/>
      <c r="P211" s="66"/>
      <c r="Q211" s="66"/>
      <c r="R211" s="66"/>
      <c r="S211" s="66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9" t="s">
        <v>191</v>
      </c>
      <c r="AF211" s="67" t="s">
        <v>577</v>
      </c>
      <c r="AG211" s="67" t="s">
        <v>578</v>
      </c>
      <c r="AH211" s="67"/>
      <c r="AI211" s="67">
        <f>0+0</f>
        <v>0</v>
      </c>
    </row>
    <row r="212" spans="1:35" ht="45">
      <c r="A212" s="59">
        <v>70</v>
      </c>
      <c r="B212" s="60" t="s">
        <v>441</v>
      </c>
      <c r="C212" s="61" t="str">
        <f ca="1" t="shared" si="5"/>
        <v>Плиты теплоизоляционные энергетические гидрофобизированные базальтовые: ПТЭ-125 , размером 2000х1000х50 мм
м3
</v>
      </c>
      <c r="D212" s="62">
        <v>4.285</v>
      </c>
      <c r="E212" s="63">
        <v>1554.03</v>
      </c>
      <c r="F212" s="63"/>
      <c r="G212" s="63">
        <v>1554.03</v>
      </c>
      <c r="H212" s="64" t="s">
        <v>442</v>
      </c>
      <c r="I212" s="65">
        <v>16361</v>
      </c>
      <c r="J212" s="63"/>
      <c r="K212" s="63"/>
      <c r="L212" s="63" t="str">
        <f>IF(4.285*1554.03=0," ",TEXT(,ROUND((4.285*1554.03*2.457),2)))</f>
        <v>16361.21</v>
      </c>
      <c r="M212" s="63"/>
      <c r="N212" s="63"/>
      <c r="O212" s="66"/>
      <c r="P212" s="66"/>
      <c r="Q212" s="66"/>
      <c r="R212" s="66"/>
      <c r="S212" s="66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 t="s">
        <v>443</v>
      </c>
      <c r="AG212" s="67" t="s">
        <v>437</v>
      </c>
      <c r="AH212" s="67"/>
      <c r="AI212" s="67">
        <f>0+0</f>
        <v>0</v>
      </c>
    </row>
    <row r="213" spans="1:35" ht="33.75">
      <c r="A213" s="59">
        <v>71</v>
      </c>
      <c r="B213" s="60" t="s">
        <v>579</v>
      </c>
      <c r="C213" s="61" t="str">
        <f ca="1" t="shared" si="5"/>
        <v>Листы асбестоцементные плоские с гладкой поверхностью прессованные толщиной 10 мм
м2
</v>
      </c>
      <c r="D213" s="62">
        <v>6.06</v>
      </c>
      <c r="E213" s="63">
        <v>30.78</v>
      </c>
      <c r="F213" s="63"/>
      <c r="G213" s="63">
        <v>30.78</v>
      </c>
      <c r="H213" s="64" t="s">
        <v>580</v>
      </c>
      <c r="I213" s="65">
        <v>1431</v>
      </c>
      <c r="J213" s="63"/>
      <c r="K213" s="63"/>
      <c r="L213" s="63" t="str">
        <f>IF(6.06*30.78=0," ",TEXT(,ROUND((6.06*30.78*7.671),2)))</f>
        <v>1430.85</v>
      </c>
      <c r="M213" s="63"/>
      <c r="N213" s="63"/>
      <c r="O213" s="66"/>
      <c r="P213" s="66"/>
      <c r="Q213" s="66"/>
      <c r="R213" s="66"/>
      <c r="S213" s="66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 t="s">
        <v>581</v>
      </c>
      <c r="AG213" s="67" t="s">
        <v>271</v>
      </c>
      <c r="AH213" s="67"/>
      <c r="AI213" s="67">
        <f>0+0</f>
        <v>0</v>
      </c>
    </row>
    <row r="214" spans="1:35" ht="112.5">
      <c r="A214" s="59">
        <v>72</v>
      </c>
      <c r="B214" s="60" t="s">
        <v>582</v>
      </c>
      <c r="C214" s="61" t="str">
        <f ca="1" t="shared" si="5"/>
        <v>Оклеивание поверхности изоляции: тканями стеклянными, хлопчатобумажными на клее ПВА
100 м2 поверхности покрытия изоляции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3257 руб. НР 77%=100%*(0,85*0,9) от ФОТ (4230 руб.)
2030 руб.СП 48%=70%*(0,8*0,85) от ФОТ (4230 руб.)
</v>
      </c>
      <c r="D214" s="62" t="s">
        <v>583</v>
      </c>
      <c r="E214" s="63" t="s">
        <v>584</v>
      </c>
      <c r="F214" s="63">
        <v>28.87</v>
      </c>
      <c r="G214" s="63">
        <v>3618.21</v>
      </c>
      <c r="H214" s="64" t="s">
        <v>585</v>
      </c>
      <c r="I214" s="65">
        <v>12294</v>
      </c>
      <c r="J214" s="63">
        <v>4230</v>
      </c>
      <c r="K214" s="63">
        <v>214</v>
      </c>
      <c r="L214" s="63" t="str">
        <f>IF(0.63072*3618.21=0," ",TEXT(,ROUND((0.63072*3618.21*3.44),2)))</f>
        <v>7850.35</v>
      </c>
      <c r="M214" s="63">
        <v>44</v>
      </c>
      <c r="N214" s="63">
        <v>27.75</v>
      </c>
      <c r="O214" s="66"/>
      <c r="P214" s="66"/>
      <c r="Q214" s="66"/>
      <c r="R214" s="66"/>
      <c r="S214" s="66"/>
      <c r="T214" s="67"/>
      <c r="U214" s="67"/>
      <c r="V214" s="67"/>
      <c r="W214" s="67"/>
      <c r="X214" s="67"/>
      <c r="Y214" s="67"/>
      <c r="Z214" s="67"/>
      <c r="AA214" s="67" t="s">
        <v>228</v>
      </c>
      <c r="AB214" s="67" t="s">
        <v>60</v>
      </c>
      <c r="AC214" s="67">
        <v>3257</v>
      </c>
      <c r="AD214" s="67">
        <v>2030</v>
      </c>
      <c r="AE214" s="69" t="s">
        <v>191</v>
      </c>
      <c r="AF214" s="67" t="s">
        <v>586</v>
      </c>
      <c r="AG214" s="67" t="s">
        <v>511</v>
      </c>
      <c r="AH214" s="67"/>
      <c r="AI214" s="67">
        <f>4230+0</f>
        <v>4230</v>
      </c>
    </row>
    <row r="215" spans="1:35" ht="123.75">
      <c r="A215" s="59">
        <v>73</v>
      </c>
      <c r="B215" s="60" t="s">
        <v>587</v>
      </c>
      <c r="C215" s="61" t="str">
        <f ca="1" t="shared" si="5"/>
        <v>Устройство мелких покрытий (брандмауэры, парапеты, свесы и т.п.) из листовой оцинкованной стали (за пределами кровли)
100 м2 покрытия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3630 руб. НР 92%=120%*(0,85*0,9) от ФОТ (3946 руб.)
1736 руб.СП 44%=65%*(0,8*0,85) от ФОТ (3946 руб.)
</v>
      </c>
      <c r="D215" s="62" t="s">
        <v>588</v>
      </c>
      <c r="E215" s="63" t="s">
        <v>589</v>
      </c>
      <c r="F215" s="63" t="s">
        <v>590</v>
      </c>
      <c r="G215" s="63">
        <v>8890.58</v>
      </c>
      <c r="H215" s="64" t="s">
        <v>591</v>
      </c>
      <c r="I215" s="65">
        <v>9633</v>
      </c>
      <c r="J215" s="63">
        <v>3933</v>
      </c>
      <c r="K215" s="63" t="s">
        <v>592</v>
      </c>
      <c r="L215" s="63" t="str">
        <f>IF(0.2318*8890.58=0," ",TEXT(,ROUND((0.2318*8890.58*2.73),2)))</f>
        <v>5626.08</v>
      </c>
      <c r="M215" s="63" t="s">
        <v>593</v>
      </c>
      <c r="N215" s="63" t="s">
        <v>594</v>
      </c>
      <c r="O215" s="66"/>
      <c r="P215" s="66"/>
      <c r="Q215" s="66"/>
      <c r="R215" s="66"/>
      <c r="S215" s="66"/>
      <c r="T215" s="67"/>
      <c r="U215" s="67"/>
      <c r="V215" s="67"/>
      <c r="W215" s="67"/>
      <c r="X215" s="67"/>
      <c r="Y215" s="67"/>
      <c r="Z215" s="67"/>
      <c r="AA215" s="67" t="s">
        <v>265</v>
      </c>
      <c r="AB215" s="67" t="s">
        <v>266</v>
      </c>
      <c r="AC215" s="67">
        <v>3630</v>
      </c>
      <c r="AD215" s="67">
        <v>1736</v>
      </c>
      <c r="AE215" s="69" t="s">
        <v>191</v>
      </c>
      <c r="AF215" s="67" t="s">
        <v>595</v>
      </c>
      <c r="AG215" s="67" t="s">
        <v>62</v>
      </c>
      <c r="AH215" s="67"/>
      <c r="AI215" s="67">
        <f>3933+13</f>
        <v>3946</v>
      </c>
    </row>
    <row r="216" spans="1:35" ht="112.5">
      <c r="A216" s="59">
        <v>74</v>
      </c>
      <c r="B216" s="60" t="s">
        <v>596</v>
      </c>
      <c r="C216" s="61" t="str">
        <f ca="1" t="shared" si="5"/>
        <v>Установка элементов каркаса: из брусьев (каркас вент каналов)
1 м3 древесины в конструкции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1547 руб. НР 90%=118%*(0,85*0,9) от ФОТ (1719 руб.)
739 руб.СП 43%=63%*(0,8*0,85) от ФОТ (1719 руб.)
</v>
      </c>
      <c r="D216" s="62">
        <v>0.517</v>
      </c>
      <c r="E216" s="63" t="s">
        <v>597</v>
      </c>
      <c r="F216" s="63">
        <v>33.51</v>
      </c>
      <c r="G216" s="63">
        <v>2189</v>
      </c>
      <c r="H216" s="64" t="s">
        <v>598</v>
      </c>
      <c r="I216" s="65">
        <v>5646</v>
      </c>
      <c r="J216" s="63">
        <v>1719</v>
      </c>
      <c r="K216" s="63">
        <v>203</v>
      </c>
      <c r="L216" s="63" t="str">
        <f>IF(0.517*2189=0," ",TEXT(,ROUND((0.517*2189*3.29),2)))</f>
        <v>3723.34</v>
      </c>
      <c r="M216" s="63">
        <v>22.5</v>
      </c>
      <c r="N216" s="63">
        <v>11.63</v>
      </c>
      <c r="O216" s="66"/>
      <c r="P216" s="66"/>
      <c r="Q216" s="66"/>
      <c r="R216" s="66"/>
      <c r="S216" s="66"/>
      <c r="T216" s="67"/>
      <c r="U216" s="67"/>
      <c r="V216" s="67"/>
      <c r="W216" s="67"/>
      <c r="X216" s="67"/>
      <c r="Y216" s="67"/>
      <c r="Z216" s="67"/>
      <c r="AA216" s="67" t="s">
        <v>88</v>
      </c>
      <c r="AB216" s="67" t="s">
        <v>89</v>
      </c>
      <c r="AC216" s="67">
        <v>1547</v>
      </c>
      <c r="AD216" s="67">
        <v>739</v>
      </c>
      <c r="AE216" s="69" t="s">
        <v>191</v>
      </c>
      <c r="AF216" s="67" t="s">
        <v>599</v>
      </c>
      <c r="AG216" s="67" t="s">
        <v>92</v>
      </c>
      <c r="AH216" s="67"/>
      <c r="AI216" s="67">
        <f>1719+0</f>
        <v>1719</v>
      </c>
    </row>
    <row r="217" spans="1:35" ht="112.5">
      <c r="A217" s="59">
        <v>75</v>
      </c>
      <c r="B217" s="60" t="s">
        <v>600</v>
      </c>
      <c r="C217" s="61" t="str">
        <f ca="1" t="shared" si="5"/>
        <v>Установка зонтов над шахтами из листовой стали прямоугольного сечения периметром: 3600 мм
1 зонт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1837 руб. НР 98%=128%*(0,85*0,9) от ФОТ (1874 руб.)
1049 руб.СП 56%=83%*(0,8*0,85) от ФОТ (1874 руб.)
</v>
      </c>
      <c r="D217" s="62">
        <v>4</v>
      </c>
      <c r="E217" s="63" t="s">
        <v>601</v>
      </c>
      <c r="F217" s="63" t="s">
        <v>602</v>
      </c>
      <c r="G217" s="63">
        <v>8.39</v>
      </c>
      <c r="H217" s="64" t="s">
        <v>603</v>
      </c>
      <c r="I217" s="65">
        <v>2304</v>
      </c>
      <c r="J217" s="63">
        <v>1863</v>
      </c>
      <c r="K217" s="63" t="s">
        <v>604</v>
      </c>
      <c r="L217" s="63" t="str">
        <f>IF(4*8.39=0," ",TEXT(,ROUND((4*8.39*6.11),2)))</f>
        <v>205.05</v>
      </c>
      <c r="M217" s="63" t="s">
        <v>605</v>
      </c>
      <c r="N217" s="63" t="s">
        <v>606</v>
      </c>
      <c r="O217" s="66"/>
      <c r="P217" s="66"/>
      <c r="Q217" s="66"/>
      <c r="R217" s="66"/>
      <c r="S217" s="66"/>
      <c r="T217" s="67"/>
      <c r="U217" s="67"/>
      <c r="V217" s="67"/>
      <c r="W217" s="67"/>
      <c r="X217" s="67"/>
      <c r="Y217" s="67"/>
      <c r="Z217" s="67"/>
      <c r="AA217" s="67" t="s">
        <v>502</v>
      </c>
      <c r="AB217" s="67" t="s">
        <v>503</v>
      </c>
      <c r="AC217" s="67">
        <v>1837</v>
      </c>
      <c r="AD217" s="67">
        <v>1049</v>
      </c>
      <c r="AE217" s="69" t="s">
        <v>191</v>
      </c>
      <c r="AF217" s="67" t="s">
        <v>607</v>
      </c>
      <c r="AG217" s="67" t="s">
        <v>608</v>
      </c>
      <c r="AH217" s="67"/>
      <c r="AI217" s="67">
        <f>1863+11</f>
        <v>1874</v>
      </c>
    </row>
    <row r="218" spans="1:35" ht="42">
      <c r="A218" s="59">
        <v>76</v>
      </c>
      <c r="B218" s="60" t="s">
        <v>609</v>
      </c>
      <c r="C218" s="61" t="str">
        <f ca="1" t="shared" si="5"/>
        <v>Зонты вентиляционных систем из листовой оцинкованной стали, прямоугольные, периметром шахты 3600 мм
шт.
</v>
      </c>
      <c r="D218" s="62">
        <v>4</v>
      </c>
      <c r="E218" s="63">
        <v>588</v>
      </c>
      <c r="F218" s="63"/>
      <c r="G218" s="63">
        <v>588</v>
      </c>
      <c r="H218" s="64" t="s">
        <v>610</v>
      </c>
      <c r="I218" s="65">
        <v>8693</v>
      </c>
      <c r="J218" s="63"/>
      <c r="K218" s="63"/>
      <c r="L218" s="63" t="str">
        <f>IF(4*588=0," ",TEXT(,ROUND((4*588*3.696),2)))</f>
        <v>8692.99</v>
      </c>
      <c r="M218" s="63"/>
      <c r="N218" s="63"/>
      <c r="O218" s="66"/>
      <c r="P218" s="66"/>
      <c r="Q218" s="66"/>
      <c r="R218" s="66"/>
      <c r="S218" s="66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 t="s">
        <v>611</v>
      </c>
      <c r="AG218" s="67" t="s">
        <v>472</v>
      </c>
      <c r="AH218" s="67"/>
      <c r="AI218" s="67">
        <f>0+0</f>
        <v>0</v>
      </c>
    </row>
    <row r="219" spans="1:35" ht="112.5">
      <c r="A219" s="59">
        <v>77</v>
      </c>
      <c r="B219" s="60" t="s">
        <v>612</v>
      </c>
      <c r="C219" s="61" t="str">
        <f ca="1" t="shared" si="5"/>
        <v>Установка зонтов над шахтами из листовой стали прямоугольного сечения периметром: 2600 мм
1 зонт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696 руб. НР 98%=128%*(0,85*0,9) от ФОТ (710 руб.)
398 руб.СП 56%=83%*(0,8*0,85) от ФОТ (710 руб.)
</v>
      </c>
      <c r="D219" s="62">
        <v>2</v>
      </c>
      <c r="E219" s="63" t="s">
        <v>613</v>
      </c>
      <c r="F219" s="63">
        <v>4.38</v>
      </c>
      <c r="G219" s="63">
        <v>6.33</v>
      </c>
      <c r="H219" s="64" t="s">
        <v>603</v>
      </c>
      <c r="I219" s="65">
        <v>860</v>
      </c>
      <c r="J219" s="63">
        <v>710</v>
      </c>
      <c r="K219" s="63">
        <v>73</v>
      </c>
      <c r="L219" s="63" t="str">
        <f>IF(2*6.33=0," ",TEXT(,ROUND((2*6.33*6.11),2)))</f>
        <v>77.35</v>
      </c>
      <c r="M219" s="63">
        <v>2.27</v>
      </c>
      <c r="N219" s="63">
        <v>4.54</v>
      </c>
      <c r="O219" s="66"/>
      <c r="P219" s="66"/>
      <c r="Q219" s="66"/>
      <c r="R219" s="66"/>
      <c r="S219" s="66"/>
      <c r="T219" s="67"/>
      <c r="U219" s="67"/>
      <c r="V219" s="67"/>
      <c r="W219" s="67"/>
      <c r="X219" s="67"/>
      <c r="Y219" s="67"/>
      <c r="Z219" s="67"/>
      <c r="AA219" s="67" t="s">
        <v>502</v>
      </c>
      <c r="AB219" s="67" t="s">
        <v>503</v>
      </c>
      <c r="AC219" s="67">
        <v>696</v>
      </c>
      <c r="AD219" s="67">
        <v>398</v>
      </c>
      <c r="AE219" s="69" t="s">
        <v>191</v>
      </c>
      <c r="AF219" s="67" t="s">
        <v>614</v>
      </c>
      <c r="AG219" s="67" t="s">
        <v>608</v>
      </c>
      <c r="AH219" s="67"/>
      <c r="AI219" s="67">
        <f>710+0</f>
        <v>710</v>
      </c>
    </row>
    <row r="220" spans="1:35" ht="42">
      <c r="A220" s="59">
        <v>78</v>
      </c>
      <c r="B220" s="60" t="s">
        <v>615</v>
      </c>
      <c r="C220" s="61" t="str">
        <f ca="1" t="shared" si="5"/>
        <v>Зонты вентиляционных систем из листовой оцинкованной стали, прямоугольные, периметром шахты 2600 мм
шт.
</v>
      </c>
      <c r="D220" s="62">
        <v>2</v>
      </c>
      <c r="E220" s="63">
        <v>321.3</v>
      </c>
      <c r="F220" s="63"/>
      <c r="G220" s="63">
        <v>321.3</v>
      </c>
      <c r="H220" s="64" t="s">
        <v>616</v>
      </c>
      <c r="I220" s="65">
        <v>3256</v>
      </c>
      <c r="J220" s="63"/>
      <c r="K220" s="63"/>
      <c r="L220" s="63" t="str">
        <f>IF(2*321.3=0," ",TEXT(,ROUND((2*321.3*5.067),2)))</f>
        <v>3256.05</v>
      </c>
      <c r="M220" s="63"/>
      <c r="N220" s="63"/>
      <c r="O220" s="66"/>
      <c r="P220" s="66"/>
      <c r="Q220" s="66"/>
      <c r="R220" s="66"/>
      <c r="S220" s="66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 t="s">
        <v>617</v>
      </c>
      <c r="AG220" s="67" t="s">
        <v>472</v>
      </c>
      <c r="AH220" s="67"/>
      <c r="AI220" s="67">
        <f>0+0</f>
        <v>0</v>
      </c>
    </row>
    <row r="221" spans="1:35" ht="112.5">
      <c r="A221" s="59">
        <v>79</v>
      </c>
      <c r="B221" s="60" t="s">
        <v>618</v>
      </c>
      <c r="C221" s="61" t="str">
        <f ca="1" t="shared" si="5"/>
        <v>Установка зонтов над шахтами из листовой стали прямоугольного сечения периметром: 3200 мм
1 зонт
КОЭФ. УЧТЁННЫЕ В ИТОГАХ:
При ремонте и реконструкции зданий и сооружений работы, аналогичные технологическим процессам в новом строительстве ОЗП=1,15; ЭМ=1,25; ЗПМ=1,25; ТЗ=1,15; ТЗМ=1,25
350 руб. НР 98%=128%*(0,85*0,9) от ФОТ (357 руб.)
200 руб.СП 56%=83%*(0,8*0,85) от ФОТ (357 руб.)
</v>
      </c>
      <c r="D221" s="62">
        <v>1</v>
      </c>
      <c r="E221" s="63" t="s">
        <v>619</v>
      </c>
      <c r="F221" s="63" t="s">
        <v>620</v>
      </c>
      <c r="G221" s="63">
        <v>8.08</v>
      </c>
      <c r="H221" s="64" t="s">
        <v>603</v>
      </c>
      <c r="I221" s="65">
        <v>452</v>
      </c>
      <c r="J221" s="63">
        <v>354</v>
      </c>
      <c r="K221" s="63" t="s">
        <v>621</v>
      </c>
      <c r="L221" s="63" t="str">
        <f>IF(1*8.08=0," ",TEXT(,ROUND((1*8.08*6.11),2)))</f>
        <v>49.37</v>
      </c>
      <c r="M221" s="63" t="s">
        <v>622</v>
      </c>
      <c r="N221" s="63" t="s">
        <v>622</v>
      </c>
      <c r="O221" s="66"/>
      <c r="P221" s="66"/>
      <c r="Q221" s="66"/>
      <c r="R221" s="66"/>
      <c r="S221" s="66"/>
      <c r="T221" s="67"/>
      <c r="U221" s="67"/>
      <c r="V221" s="67"/>
      <c r="W221" s="67"/>
      <c r="X221" s="67"/>
      <c r="Y221" s="67"/>
      <c r="Z221" s="67"/>
      <c r="AA221" s="67" t="s">
        <v>502</v>
      </c>
      <c r="AB221" s="67" t="s">
        <v>503</v>
      </c>
      <c r="AC221" s="67">
        <v>350</v>
      </c>
      <c r="AD221" s="67">
        <v>200</v>
      </c>
      <c r="AE221" s="69" t="s">
        <v>191</v>
      </c>
      <c r="AF221" s="67" t="s">
        <v>623</v>
      </c>
      <c r="AG221" s="67" t="s">
        <v>608</v>
      </c>
      <c r="AH221" s="67"/>
      <c r="AI221" s="67">
        <f>354+3</f>
        <v>357</v>
      </c>
    </row>
    <row r="222" spans="1:35" ht="42">
      <c r="A222" s="59">
        <v>80</v>
      </c>
      <c r="B222" s="60" t="s">
        <v>624</v>
      </c>
      <c r="C222" s="61" t="str">
        <f ca="1" t="shared" si="5"/>
        <v>Зонты вентиляционных систем из листовой оцинкованной стали, прямоугольные, периметром шахты 3200 мм
шт.
</v>
      </c>
      <c r="D222" s="62">
        <v>1</v>
      </c>
      <c r="E222" s="63">
        <v>361.2</v>
      </c>
      <c r="F222" s="63"/>
      <c r="G222" s="63">
        <v>361.2</v>
      </c>
      <c r="H222" s="64" t="s">
        <v>625</v>
      </c>
      <c r="I222" s="65">
        <v>2051</v>
      </c>
      <c r="J222" s="63"/>
      <c r="K222" s="63"/>
      <c r="L222" s="63" t="str">
        <f>IF(1*361.2=0," ",TEXT(,ROUND((1*361.2*5.678),2)))</f>
        <v>2050.89</v>
      </c>
      <c r="M222" s="63"/>
      <c r="N222" s="63"/>
      <c r="O222" s="66"/>
      <c r="P222" s="66"/>
      <c r="Q222" s="66"/>
      <c r="R222" s="66"/>
      <c r="S222" s="66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 t="s">
        <v>626</v>
      </c>
      <c r="AG222" s="67" t="s">
        <v>472</v>
      </c>
      <c r="AH222" s="67"/>
      <c r="AI222" s="67">
        <f>0+0</f>
        <v>0</v>
      </c>
    </row>
    <row r="223" spans="1:19" ht="22.5">
      <c r="A223" s="80" t="s">
        <v>148</v>
      </c>
      <c r="B223" s="79"/>
      <c r="C223" s="79"/>
      <c r="D223" s="79"/>
      <c r="E223" s="79"/>
      <c r="F223" s="79"/>
      <c r="G223" s="79"/>
      <c r="H223" s="79"/>
      <c r="I223" s="65">
        <v>109120</v>
      </c>
      <c r="J223" s="63">
        <v>25469</v>
      </c>
      <c r="K223" s="63" t="s">
        <v>627</v>
      </c>
      <c r="L223" s="63">
        <v>79777</v>
      </c>
      <c r="M223" s="63"/>
      <c r="N223" s="63" t="s">
        <v>628</v>
      </c>
      <c r="O223" s="9"/>
      <c r="P223" s="10"/>
      <c r="Q223" s="9"/>
      <c r="R223" s="9"/>
      <c r="S223" s="9"/>
    </row>
    <row r="224" spans="1:19" ht="22.5">
      <c r="A224" s="80" t="s">
        <v>398</v>
      </c>
      <c r="B224" s="79"/>
      <c r="C224" s="79"/>
      <c r="D224" s="79"/>
      <c r="E224" s="79"/>
      <c r="F224" s="79"/>
      <c r="G224" s="79"/>
      <c r="H224" s="79"/>
      <c r="I224" s="65">
        <v>113911</v>
      </c>
      <c r="J224" s="63">
        <v>29290</v>
      </c>
      <c r="K224" s="63" t="s">
        <v>629</v>
      </c>
      <c r="L224" s="63">
        <v>79777</v>
      </c>
      <c r="M224" s="63"/>
      <c r="N224" s="63" t="s">
        <v>630</v>
      </c>
      <c r="O224" s="9"/>
      <c r="P224" s="10"/>
      <c r="Q224" s="9"/>
      <c r="R224" s="9"/>
      <c r="S224" s="9"/>
    </row>
    <row r="225" spans="1:19" ht="12.75">
      <c r="A225" s="80" t="s">
        <v>152</v>
      </c>
      <c r="B225" s="79"/>
      <c r="C225" s="79"/>
      <c r="D225" s="79"/>
      <c r="E225" s="79"/>
      <c r="F225" s="79"/>
      <c r="G225" s="79"/>
      <c r="H225" s="79"/>
      <c r="I225" s="65"/>
      <c r="J225" s="63"/>
      <c r="K225" s="63"/>
      <c r="L225" s="63"/>
      <c r="M225" s="63"/>
      <c r="N225" s="63"/>
      <c r="O225" s="9"/>
      <c r="P225" s="10"/>
      <c r="Q225" s="9"/>
      <c r="R225" s="9"/>
      <c r="S225" s="9"/>
    </row>
    <row r="226" spans="1:19" ht="22.5">
      <c r="A226" s="80" t="s">
        <v>631</v>
      </c>
      <c r="B226" s="79"/>
      <c r="C226" s="79"/>
      <c r="D226" s="79"/>
      <c r="E226" s="79"/>
      <c r="F226" s="79"/>
      <c r="G226" s="79"/>
      <c r="H226" s="79"/>
      <c r="I226" s="65">
        <v>4791</v>
      </c>
      <c r="J226" s="63">
        <v>3820</v>
      </c>
      <c r="K226" s="63" t="s">
        <v>632</v>
      </c>
      <c r="L226" s="63"/>
      <c r="M226" s="63"/>
      <c r="N226" s="63" t="s">
        <v>633</v>
      </c>
      <c r="O226" s="9"/>
      <c r="P226" s="10"/>
      <c r="Q226" s="9"/>
      <c r="R226" s="9"/>
      <c r="S226" s="9"/>
    </row>
    <row r="227" spans="1:19" ht="12.75">
      <c r="A227" s="80" t="s">
        <v>151</v>
      </c>
      <c r="B227" s="79"/>
      <c r="C227" s="79"/>
      <c r="D227" s="79"/>
      <c r="E227" s="79"/>
      <c r="F227" s="79"/>
      <c r="G227" s="79"/>
      <c r="H227" s="79"/>
      <c r="I227" s="65">
        <v>26384</v>
      </c>
      <c r="J227" s="63"/>
      <c r="K227" s="63"/>
      <c r="L227" s="63"/>
      <c r="M227" s="63"/>
      <c r="N227" s="63"/>
      <c r="O227" s="9"/>
      <c r="P227" s="10"/>
      <c r="Q227" s="9"/>
      <c r="R227" s="9"/>
      <c r="S227" s="9"/>
    </row>
    <row r="228" spans="1:19" ht="12.75">
      <c r="A228" s="80" t="s">
        <v>152</v>
      </c>
      <c r="B228" s="79"/>
      <c r="C228" s="79"/>
      <c r="D228" s="79"/>
      <c r="E228" s="79"/>
      <c r="F228" s="79"/>
      <c r="G228" s="79"/>
      <c r="H228" s="79"/>
      <c r="I228" s="65"/>
      <c r="J228" s="63"/>
      <c r="K228" s="63"/>
      <c r="L228" s="63"/>
      <c r="M228" s="63"/>
      <c r="N228" s="63"/>
      <c r="O228" s="9"/>
      <c r="P228" s="10"/>
      <c r="Q228" s="9"/>
      <c r="R228" s="9"/>
      <c r="S228" s="9"/>
    </row>
    <row r="229" spans="1:19" ht="12.75">
      <c r="A229" s="80" t="s">
        <v>634</v>
      </c>
      <c r="B229" s="79"/>
      <c r="C229" s="79"/>
      <c r="D229" s="79"/>
      <c r="E229" s="79"/>
      <c r="F229" s="79"/>
      <c r="G229" s="79"/>
      <c r="H229" s="79"/>
      <c r="I229" s="65">
        <v>5492</v>
      </c>
      <c r="J229" s="63"/>
      <c r="K229" s="63"/>
      <c r="L229" s="63"/>
      <c r="M229" s="63"/>
      <c r="N229" s="63"/>
      <c r="O229" s="9"/>
      <c r="P229" s="10"/>
      <c r="Q229" s="9"/>
      <c r="R229" s="9"/>
      <c r="S229" s="9"/>
    </row>
    <row r="230" spans="1:19" ht="12.75">
      <c r="A230" s="80" t="s">
        <v>635</v>
      </c>
      <c r="B230" s="79"/>
      <c r="C230" s="79"/>
      <c r="D230" s="79"/>
      <c r="E230" s="79"/>
      <c r="F230" s="79"/>
      <c r="G230" s="79"/>
      <c r="H230" s="79"/>
      <c r="I230" s="65">
        <v>5848</v>
      </c>
      <c r="J230" s="63"/>
      <c r="K230" s="63"/>
      <c r="L230" s="63"/>
      <c r="M230" s="63"/>
      <c r="N230" s="63"/>
      <c r="O230" s="9"/>
      <c r="P230" s="10"/>
      <c r="Q230" s="9"/>
      <c r="R230" s="9"/>
      <c r="S230" s="9"/>
    </row>
    <row r="231" spans="1:19" ht="12.75">
      <c r="A231" s="80" t="s">
        <v>636</v>
      </c>
      <c r="B231" s="79"/>
      <c r="C231" s="79"/>
      <c r="D231" s="79"/>
      <c r="E231" s="79"/>
      <c r="F231" s="79"/>
      <c r="G231" s="79"/>
      <c r="H231" s="79"/>
      <c r="I231" s="65">
        <v>1547</v>
      </c>
      <c r="J231" s="63"/>
      <c r="K231" s="63"/>
      <c r="L231" s="63"/>
      <c r="M231" s="63"/>
      <c r="N231" s="63"/>
      <c r="O231" s="9"/>
      <c r="P231" s="10"/>
      <c r="Q231" s="9"/>
      <c r="R231" s="9"/>
      <c r="S231" s="9"/>
    </row>
    <row r="232" spans="1:19" ht="12.75">
      <c r="A232" s="80" t="s">
        <v>637</v>
      </c>
      <c r="B232" s="79"/>
      <c r="C232" s="79"/>
      <c r="D232" s="79"/>
      <c r="E232" s="79"/>
      <c r="F232" s="79"/>
      <c r="G232" s="79"/>
      <c r="H232" s="79"/>
      <c r="I232" s="65">
        <v>3630</v>
      </c>
      <c r="J232" s="63"/>
      <c r="K232" s="63"/>
      <c r="L232" s="63"/>
      <c r="M232" s="63"/>
      <c r="N232" s="63"/>
      <c r="O232" s="9"/>
      <c r="P232" s="10"/>
      <c r="Q232" s="9"/>
      <c r="R232" s="9"/>
      <c r="S232" s="9"/>
    </row>
    <row r="233" spans="1:19" ht="12.75">
      <c r="A233" s="80" t="s">
        <v>638</v>
      </c>
      <c r="B233" s="79"/>
      <c r="C233" s="79"/>
      <c r="D233" s="79"/>
      <c r="E233" s="79"/>
      <c r="F233" s="79"/>
      <c r="G233" s="79"/>
      <c r="H233" s="79"/>
      <c r="I233" s="65">
        <v>6985</v>
      </c>
      <c r="J233" s="63"/>
      <c r="K233" s="63"/>
      <c r="L233" s="63"/>
      <c r="M233" s="63"/>
      <c r="N233" s="63"/>
      <c r="O233" s="9"/>
      <c r="P233" s="10"/>
      <c r="Q233" s="9"/>
      <c r="R233" s="9"/>
      <c r="S233" s="9"/>
    </row>
    <row r="234" spans="1:19" ht="12.75">
      <c r="A234" s="80" t="s">
        <v>639</v>
      </c>
      <c r="B234" s="79"/>
      <c r="C234" s="79"/>
      <c r="D234" s="79"/>
      <c r="E234" s="79"/>
      <c r="F234" s="79"/>
      <c r="G234" s="79"/>
      <c r="H234" s="79"/>
      <c r="I234" s="65">
        <v>2882</v>
      </c>
      <c r="J234" s="63"/>
      <c r="K234" s="63"/>
      <c r="L234" s="63"/>
      <c r="M234" s="63"/>
      <c r="N234" s="63"/>
      <c r="O234" s="9"/>
      <c r="P234" s="10"/>
      <c r="Q234" s="9"/>
      <c r="R234" s="9"/>
      <c r="S234" s="9"/>
    </row>
    <row r="235" spans="1:19" ht="12.75">
      <c r="A235" s="80" t="s">
        <v>158</v>
      </c>
      <c r="B235" s="79"/>
      <c r="C235" s="79"/>
      <c r="D235" s="79"/>
      <c r="E235" s="79"/>
      <c r="F235" s="79"/>
      <c r="G235" s="79"/>
      <c r="H235" s="79"/>
      <c r="I235" s="65">
        <v>14306</v>
      </c>
      <c r="J235" s="63"/>
      <c r="K235" s="63"/>
      <c r="L235" s="63"/>
      <c r="M235" s="63"/>
      <c r="N235" s="63"/>
      <c r="O235" s="9"/>
      <c r="P235" s="10"/>
      <c r="Q235" s="9"/>
      <c r="R235" s="9"/>
      <c r="S235" s="9"/>
    </row>
    <row r="236" spans="1:19" ht="12.75">
      <c r="A236" s="80" t="s">
        <v>152</v>
      </c>
      <c r="B236" s="79"/>
      <c r="C236" s="79"/>
      <c r="D236" s="79"/>
      <c r="E236" s="79"/>
      <c r="F236" s="79"/>
      <c r="G236" s="79"/>
      <c r="H236" s="79"/>
      <c r="I236" s="65"/>
      <c r="J236" s="63"/>
      <c r="K236" s="63"/>
      <c r="L236" s="63"/>
      <c r="M236" s="63"/>
      <c r="N236" s="63"/>
      <c r="O236" s="9"/>
      <c r="P236" s="10"/>
      <c r="Q236" s="9"/>
      <c r="R236" s="9"/>
      <c r="S236" s="9"/>
    </row>
    <row r="237" spans="1:19" ht="12.75">
      <c r="A237" s="80" t="s">
        <v>640</v>
      </c>
      <c r="B237" s="79"/>
      <c r="C237" s="79"/>
      <c r="D237" s="79"/>
      <c r="E237" s="79"/>
      <c r="F237" s="79"/>
      <c r="G237" s="79"/>
      <c r="H237" s="79"/>
      <c r="I237" s="65">
        <v>2705</v>
      </c>
      <c r="J237" s="63"/>
      <c r="K237" s="63"/>
      <c r="L237" s="63"/>
      <c r="M237" s="63"/>
      <c r="N237" s="63"/>
      <c r="O237" s="9"/>
      <c r="P237" s="10"/>
      <c r="Q237" s="9"/>
      <c r="R237" s="9"/>
      <c r="S237" s="9"/>
    </row>
    <row r="238" spans="1:19" ht="12.75">
      <c r="A238" s="80" t="s">
        <v>641</v>
      </c>
      <c r="B238" s="79"/>
      <c r="C238" s="79"/>
      <c r="D238" s="79"/>
      <c r="E238" s="79"/>
      <c r="F238" s="79"/>
      <c r="G238" s="79"/>
      <c r="H238" s="79"/>
      <c r="I238" s="65">
        <v>739</v>
      </c>
      <c r="J238" s="63"/>
      <c r="K238" s="63"/>
      <c r="L238" s="63"/>
      <c r="M238" s="63"/>
      <c r="N238" s="63"/>
      <c r="O238" s="9"/>
      <c r="P238" s="10"/>
      <c r="Q238" s="9"/>
      <c r="R238" s="9"/>
      <c r="S238" s="9"/>
    </row>
    <row r="239" spans="1:19" ht="12.75">
      <c r="A239" s="80" t="s">
        <v>642</v>
      </c>
      <c r="B239" s="79"/>
      <c r="C239" s="79"/>
      <c r="D239" s="79"/>
      <c r="E239" s="79"/>
      <c r="F239" s="79"/>
      <c r="G239" s="79"/>
      <c r="H239" s="79"/>
      <c r="I239" s="65">
        <v>1736</v>
      </c>
      <c r="J239" s="63"/>
      <c r="K239" s="63"/>
      <c r="L239" s="63"/>
      <c r="M239" s="63"/>
      <c r="N239" s="63"/>
      <c r="O239" s="9"/>
      <c r="P239" s="10"/>
      <c r="Q239" s="9"/>
      <c r="R239" s="9"/>
      <c r="S239" s="9"/>
    </row>
    <row r="240" spans="1:19" ht="12.75">
      <c r="A240" s="80" t="s">
        <v>643</v>
      </c>
      <c r="B240" s="79"/>
      <c r="C240" s="79"/>
      <c r="D240" s="79"/>
      <c r="E240" s="79"/>
      <c r="F240" s="79"/>
      <c r="G240" s="79"/>
      <c r="H240" s="79"/>
      <c r="I240" s="65">
        <v>3423</v>
      </c>
      <c r="J240" s="63"/>
      <c r="K240" s="63"/>
      <c r="L240" s="63"/>
      <c r="M240" s="63"/>
      <c r="N240" s="63"/>
      <c r="O240" s="9"/>
      <c r="P240" s="10"/>
      <c r="Q240" s="9"/>
      <c r="R240" s="9"/>
      <c r="S240" s="9"/>
    </row>
    <row r="241" spans="1:19" ht="12.75">
      <c r="A241" s="80" t="s">
        <v>644</v>
      </c>
      <c r="B241" s="79"/>
      <c r="C241" s="79"/>
      <c r="D241" s="79"/>
      <c r="E241" s="79"/>
      <c r="F241" s="79"/>
      <c r="G241" s="79"/>
      <c r="H241" s="79"/>
      <c r="I241" s="65">
        <v>4056</v>
      </c>
      <c r="J241" s="63"/>
      <c r="K241" s="63"/>
      <c r="L241" s="63"/>
      <c r="M241" s="63"/>
      <c r="N241" s="63"/>
      <c r="O241" s="9"/>
      <c r="P241" s="10"/>
      <c r="Q241" s="9"/>
      <c r="R241" s="9"/>
      <c r="S241" s="9"/>
    </row>
    <row r="242" spans="1:19" ht="12.75">
      <c r="A242" s="80" t="s">
        <v>645</v>
      </c>
      <c r="B242" s="79"/>
      <c r="C242" s="79"/>
      <c r="D242" s="79"/>
      <c r="E242" s="79"/>
      <c r="F242" s="79"/>
      <c r="G242" s="79"/>
      <c r="H242" s="79"/>
      <c r="I242" s="65">
        <v>1647</v>
      </c>
      <c r="J242" s="63"/>
      <c r="K242" s="63"/>
      <c r="L242" s="63"/>
      <c r="M242" s="63"/>
      <c r="N242" s="63"/>
      <c r="O242" s="9"/>
      <c r="P242" s="10"/>
      <c r="Q242" s="9"/>
      <c r="R242" s="9"/>
      <c r="S242" s="9"/>
    </row>
    <row r="243" spans="1:19" ht="12.75">
      <c r="A243" s="81" t="s">
        <v>646</v>
      </c>
      <c r="B243" s="77"/>
      <c r="C243" s="77"/>
      <c r="D243" s="77"/>
      <c r="E243" s="77"/>
      <c r="F243" s="77"/>
      <c r="G243" s="77"/>
      <c r="H243" s="77"/>
      <c r="I243" s="65"/>
      <c r="J243" s="63"/>
      <c r="K243" s="63"/>
      <c r="L243" s="63"/>
      <c r="M243" s="63"/>
      <c r="N243" s="63"/>
      <c r="O243" s="9"/>
      <c r="P243" s="10"/>
      <c r="Q243" s="9"/>
      <c r="R243" s="9"/>
      <c r="S243" s="9"/>
    </row>
    <row r="244" spans="1:19" ht="22.5">
      <c r="A244" s="80" t="s">
        <v>647</v>
      </c>
      <c r="B244" s="79"/>
      <c r="C244" s="79"/>
      <c r="D244" s="79"/>
      <c r="E244" s="79"/>
      <c r="F244" s="79"/>
      <c r="G244" s="79"/>
      <c r="H244" s="79"/>
      <c r="I244" s="65">
        <v>45273</v>
      </c>
      <c r="J244" s="63"/>
      <c r="K244" s="63"/>
      <c r="L244" s="63"/>
      <c r="M244" s="63"/>
      <c r="N244" s="63" t="s">
        <v>648</v>
      </c>
      <c r="O244" s="9"/>
      <c r="P244" s="10"/>
      <c r="Q244" s="9"/>
      <c r="R244" s="9"/>
      <c r="S244" s="9"/>
    </row>
    <row r="245" spans="1:19" ht="22.5">
      <c r="A245" s="80" t="s">
        <v>649</v>
      </c>
      <c r="B245" s="79"/>
      <c r="C245" s="79"/>
      <c r="D245" s="79"/>
      <c r="E245" s="79"/>
      <c r="F245" s="79"/>
      <c r="G245" s="79"/>
      <c r="H245" s="79"/>
      <c r="I245" s="65">
        <v>18522</v>
      </c>
      <c r="J245" s="63"/>
      <c r="K245" s="63"/>
      <c r="L245" s="63"/>
      <c r="M245" s="63"/>
      <c r="N245" s="63" t="s">
        <v>650</v>
      </c>
      <c r="O245" s="9"/>
      <c r="P245" s="10"/>
      <c r="Q245" s="9"/>
      <c r="R245" s="9"/>
      <c r="S245" s="9"/>
    </row>
    <row r="246" spans="1:19" ht="22.5">
      <c r="A246" s="80" t="s">
        <v>540</v>
      </c>
      <c r="B246" s="79"/>
      <c r="C246" s="79"/>
      <c r="D246" s="79"/>
      <c r="E246" s="79"/>
      <c r="F246" s="79"/>
      <c r="G246" s="79"/>
      <c r="H246" s="79"/>
      <c r="I246" s="65">
        <v>27420</v>
      </c>
      <c r="J246" s="63"/>
      <c r="K246" s="63"/>
      <c r="L246" s="63"/>
      <c r="M246" s="63"/>
      <c r="N246" s="63" t="s">
        <v>651</v>
      </c>
      <c r="O246" s="9"/>
      <c r="P246" s="10"/>
      <c r="Q246" s="9"/>
      <c r="R246" s="9"/>
      <c r="S246" s="9"/>
    </row>
    <row r="247" spans="1:19" ht="12.75">
      <c r="A247" s="80" t="s">
        <v>490</v>
      </c>
      <c r="B247" s="79"/>
      <c r="C247" s="79"/>
      <c r="D247" s="79"/>
      <c r="E247" s="79"/>
      <c r="F247" s="79"/>
      <c r="G247" s="79"/>
      <c r="H247" s="79"/>
      <c r="I247" s="65">
        <v>32311</v>
      </c>
      <c r="J247" s="63"/>
      <c r="K247" s="63"/>
      <c r="L247" s="63"/>
      <c r="M247" s="63"/>
      <c r="N247" s="63"/>
      <c r="O247" s="9"/>
      <c r="P247" s="10"/>
      <c r="Q247" s="9"/>
      <c r="R247" s="9"/>
      <c r="S247" s="9"/>
    </row>
    <row r="248" spans="1:19" ht="22.5">
      <c r="A248" s="80" t="s">
        <v>488</v>
      </c>
      <c r="B248" s="79"/>
      <c r="C248" s="79"/>
      <c r="D248" s="79"/>
      <c r="E248" s="79"/>
      <c r="F248" s="79"/>
      <c r="G248" s="79"/>
      <c r="H248" s="79"/>
      <c r="I248" s="65">
        <v>14999</v>
      </c>
      <c r="J248" s="63"/>
      <c r="K248" s="63"/>
      <c r="L248" s="63"/>
      <c r="M248" s="63"/>
      <c r="N248" s="63" t="s">
        <v>652</v>
      </c>
      <c r="O248" s="9"/>
      <c r="P248" s="10"/>
      <c r="Q248" s="9"/>
      <c r="R248" s="9"/>
      <c r="S248" s="9"/>
    </row>
    <row r="249" spans="1:19" ht="12.75">
      <c r="A249" s="80" t="s">
        <v>169</v>
      </c>
      <c r="B249" s="79"/>
      <c r="C249" s="79"/>
      <c r="D249" s="79"/>
      <c r="E249" s="79"/>
      <c r="F249" s="79"/>
      <c r="G249" s="79"/>
      <c r="H249" s="79"/>
      <c r="I249" s="65">
        <v>7932</v>
      </c>
      <c r="J249" s="63"/>
      <c r="K249" s="63"/>
      <c r="L249" s="63"/>
      <c r="M249" s="63"/>
      <c r="N249" s="63">
        <v>13.37</v>
      </c>
      <c r="O249" s="9"/>
      <c r="P249" s="10"/>
      <c r="Q249" s="9"/>
      <c r="R249" s="9"/>
      <c r="S249" s="9"/>
    </row>
    <row r="250" spans="1:19" ht="22.5">
      <c r="A250" s="80" t="s">
        <v>538</v>
      </c>
      <c r="B250" s="79"/>
      <c r="C250" s="79"/>
      <c r="D250" s="79"/>
      <c r="E250" s="79"/>
      <c r="F250" s="79"/>
      <c r="G250" s="79"/>
      <c r="H250" s="79"/>
      <c r="I250" s="65">
        <v>8144</v>
      </c>
      <c r="J250" s="63"/>
      <c r="K250" s="63"/>
      <c r="L250" s="63"/>
      <c r="M250" s="63"/>
      <c r="N250" s="63" t="s">
        <v>653</v>
      </c>
      <c r="O250" s="9"/>
      <c r="P250" s="10"/>
      <c r="Q250" s="9"/>
      <c r="R250" s="9"/>
      <c r="S250" s="9"/>
    </row>
    <row r="251" spans="1:19" ht="22.5">
      <c r="A251" s="80" t="s">
        <v>174</v>
      </c>
      <c r="B251" s="79"/>
      <c r="C251" s="79"/>
      <c r="D251" s="79"/>
      <c r="E251" s="79"/>
      <c r="F251" s="79"/>
      <c r="G251" s="79"/>
      <c r="H251" s="79"/>
      <c r="I251" s="65">
        <v>154601</v>
      </c>
      <c r="J251" s="63"/>
      <c r="K251" s="63"/>
      <c r="L251" s="63"/>
      <c r="M251" s="63"/>
      <c r="N251" s="63" t="s">
        <v>630</v>
      </c>
      <c r="O251" s="9"/>
      <c r="P251" s="10"/>
      <c r="Q251" s="9"/>
      <c r="R251" s="9"/>
      <c r="S251" s="9"/>
    </row>
    <row r="252" spans="1:19" ht="12.75">
      <c r="A252" s="80" t="s">
        <v>175</v>
      </c>
      <c r="B252" s="79"/>
      <c r="C252" s="79"/>
      <c r="D252" s="79"/>
      <c r="E252" s="79"/>
      <c r="F252" s="79"/>
      <c r="G252" s="79"/>
      <c r="H252" s="79"/>
      <c r="I252" s="65"/>
      <c r="J252" s="63"/>
      <c r="K252" s="63"/>
      <c r="L252" s="63"/>
      <c r="M252" s="63"/>
      <c r="N252" s="63"/>
      <c r="O252" s="9"/>
      <c r="P252" s="10"/>
      <c r="Q252" s="9"/>
      <c r="R252" s="9"/>
      <c r="S252" s="9"/>
    </row>
    <row r="253" spans="1:19" ht="12.75">
      <c r="A253" s="80" t="s">
        <v>421</v>
      </c>
      <c r="B253" s="79"/>
      <c r="C253" s="79"/>
      <c r="D253" s="79"/>
      <c r="E253" s="79"/>
      <c r="F253" s="79"/>
      <c r="G253" s="79"/>
      <c r="H253" s="79"/>
      <c r="I253" s="65">
        <v>79777</v>
      </c>
      <c r="J253" s="63"/>
      <c r="K253" s="63"/>
      <c r="L253" s="63"/>
      <c r="M253" s="63"/>
      <c r="N253" s="63"/>
      <c r="O253" s="9"/>
      <c r="P253" s="10"/>
      <c r="Q253" s="9"/>
      <c r="R253" s="9"/>
      <c r="S253" s="9"/>
    </row>
    <row r="254" spans="1:19" ht="12.75">
      <c r="A254" s="80" t="s">
        <v>176</v>
      </c>
      <c r="B254" s="79"/>
      <c r="C254" s="79"/>
      <c r="D254" s="79"/>
      <c r="E254" s="79"/>
      <c r="F254" s="79"/>
      <c r="G254" s="79"/>
      <c r="H254" s="79"/>
      <c r="I254" s="65">
        <v>4844</v>
      </c>
      <c r="J254" s="63"/>
      <c r="K254" s="63"/>
      <c r="L254" s="63"/>
      <c r="M254" s="63"/>
      <c r="N254" s="63"/>
      <c r="O254" s="9"/>
      <c r="P254" s="10"/>
      <c r="Q254" s="9"/>
      <c r="R254" s="9"/>
      <c r="S254" s="9"/>
    </row>
    <row r="255" spans="1:19" ht="12.75">
      <c r="A255" s="80" t="s">
        <v>177</v>
      </c>
      <c r="B255" s="79"/>
      <c r="C255" s="79"/>
      <c r="D255" s="79"/>
      <c r="E255" s="79"/>
      <c r="F255" s="79"/>
      <c r="G255" s="79"/>
      <c r="H255" s="79"/>
      <c r="I255" s="65">
        <v>30559</v>
      </c>
      <c r="J255" s="63"/>
      <c r="K255" s="63"/>
      <c r="L255" s="63"/>
      <c r="M255" s="63"/>
      <c r="N255" s="63"/>
      <c r="O255" s="9"/>
      <c r="P255" s="10"/>
      <c r="Q255" s="9"/>
      <c r="R255" s="9"/>
      <c r="S255" s="9"/>
    </row>
    <row r="256" spans="1:19" ht="12.75">
      <c r="A256" s="80" t="s">
        <v>178</v>
      </c>
      <c r="B256" s="79"/>
      <c r="C256" s="79"/>
      <c r="D256" s="79"/>
      <c r="E256" s="79"/>
      <c r="F256" s="79"/>
      <c r="G256" s="79"/>
      <c r="H256" s="79"/>
      <c r="I256" s="65">
        <v>26384</v>
      </c>
      <c r="J256" s="63"/>
      <c r="K256" s="63"/>
      <c r="L256" s="63"/>
      <c r="M256" s="63"/>
      <c r="N256" s="63"/>
      <c r="O256" s="9"/>
      <c r="P256" s="10"/>
      <c r="Q256" s="9"/>
      <c r="R256" s="9"/>
      <c r="S256" s="9"/>
    </row>
    <row r="257" spans="1:19" ht="12.75">
      <c r="A257" s="80" t="s">
        <v>179</v>
      </c>
      <c r="B257" s="79"/>
      <c r="C257" s="79"/>
      <c r="D257" s="79"/>
      <c r="E257" s="79"/>
      <c r="F257" s="79"/>
      <c r="G257" s="79"/>
      <c r="H257" s="79"/>
      <c r="I257" s="65">
        <v>14306</v>
      </c>
      <c r="J257" s="63"/>
      <c r="K257" s="63"/>
      <c r="L257" s="63"/>
      <c r="M257" s="63"/>
      <c r="N257" s="63"/>
      <c r="O257" s="9"/>
      <c r="P257" s="10"/>
      <c r="Q257" s="9"/>
      <c r="R257" s="9"/>
      <c r="S257" s="9"/>
    </row>
    <row r="258" spans="1:19" ht="22.5">
      <c r="A258" s="82" t="s">
        <v>654</v>
      </c>
      <c r="B258" s="83"/>
      <c r="C258" s="83"/>
      <c r="D258" s="83"/>
      <c r="E258" s="83"/>
      <c r="F258" s="83"/>
      <c r="G258" s="83"/>
      <c r="H258" s="83"/>
      <c r="I258" s="70">
        <v>154601</v>
      </c>
      <c r="J258" s="71"/>
      <c r="K258" s="71"/>
      <c r="L258" s="71"/>
      <c r="M258" s="71"/>
      <c r="N258" s="71" t="s">
        <v>630</v>
      </c>
      <c r="O258" s="9"/>
      <c r="P258" s="10"/>
      <c r="Q258" s="9"/>
      <c r="R258" s="9"/>
      <c r="S258" s="9"/>
    </row>
    <row r="259" spans="1:35" ht="17.25" customHeight="1">
      <c r="A259" s="81" t="s">
        <v>655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</row>
    <row r="260" spans="1:35" ht="180">
      <c r="A260" s="59">
        <v>81</v>
      </c>
      <c r="B260" s="60" t="s">
        <v>656</v>
      </c>
      <c r="C26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60" s="62">
        <v>11.319</v>
      </c>
      <c r="E260" s="63">
        <v>96.1</v>
      </c>
      <c r="F260" s="63">
        <v>96.1</v>
      </c>
      <c r="G260" s="63"/>
      <c r="H260" s="64" t="s">
        <v>657</v>
      </c>
      <c r="I260" s="65">
        <v>10453</v>
      </c>
      <c r="J260" s="63"/>
      <c r="K260" s="63">
        <v>10453</v>
      </c>
      <c r="L260" s="63" t="str">
        <f>IF(11.319*0=0," ",TEXT(,ROUND((11.319*0*1),2)))</f>
        <v> </v>
      </c>
      <c r="M260" s="63"/>
      <c r="N260" s="63"/>
      <c r="O260" s="66"/>
      <c r="P260" s="66"/>
      <c r="Q260" s="66"/>
      <c r="R260" s="66"/>
      <c r="S260" s="66"/>
      <c r="T260" s="67"/>
      <c r="U260" s="67"/>
      <c r="V260" s="67"/>
      <c r="W260" s="67"/>
      <c r="X260" s="67"/>
      <c r="Y260" s="67"/>
      <c r="Z260" s="67"/>
      <c r="AA260" s="67" t="s">
        <v>136</v>
      </c>
      <c r="AB260" s="67" t="s">
        <v>137</v>
      </c>
      <c r="AC260" s="67"/>
      <c r="AD260" s="67"/>
      <c r="AE260" s="69" t="s">
        <v>146</v>
      </c>
      <c r="AF260" s="67" t="s">
        <v>658</v>
      </c>
      <c r="AG260" s="67" t="s">
        <v>140</v>
      </c>
      <c r="AH260" s="67"/>
      <c r="AI260" s="67">
        <f>0+0</f>
        <v>0</v>
      </c>
    </row>
    <row r="261" spans="1:35" ht="165.75">
      <c r="A261" s="59">
        <v>82</v>
      </c>
      <c r="B261" s="60" t="s">
        <v>659</v>
      </c>
      <c r="C26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100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61" s="62">
        <v>10.444</v>
      </c>
      <c r="E261" s="63">
        <v>46.78</v>
      </c>
      <c r="F261" s="63">
        <v>46.78</v>
      </c>
      <c r="G261" s="63"/>
      <c r="H261" s="64" t="s">
        <v>660</v>
      </c>
      <c r="I261" s="65">
        <v>4856</v>
      </c>
      <c r="J261" s="63"/>
      <c r="K261" s="63">
        <v>4856</v>
      </c>
      <c r="L261" s="63" t="str">
        <f>IF(10.444*0=0," ",TEXT(,ROUND((10.444*0*1),2)))</f>
        <v> </v>
      </c>
      <c r="M261" s="63"/>
      <c r="N261" s="63"/>
      <c r="O261" s="66"/>
      <c r="P261" s="66"/>
      <c r="Q261" s="66"/>
      <c r="R261" s="66"/>
      <c r="S261" s="66"/>
      <c r="T261" s="67"/>
      <c r="U261" s="67"/>
      <c r="V261" s="67"/>
      <c r="W261" s="67"/>
      <c r="X261" s="67"/>
      <c r="Y261" s="67"/>
      <c r="Z261" s="67"/>
      <c r="AA261" s="67" t="s">
        <v>136</v>
      </c>
      <c r="AB261" s="67" t="s">
        <v>137</v>
      </c>
      <c r="AC261" s="67"/>
      <c r="AD261" s="67"/>
      <c r="AE261" s="69" t="s">
        <v>146</v>
      </c>
      <c r="AF261" s="67" t="s">
        <v>661</v>
      </c>
      <c r="AG261" s="67" t="s">
        <v>140</v>
      </c>
      <c r="AH261" s="67"/>
      <c r="AI261" s="67">
        <f>0+0</f>
        <v>0</v>
      </c>
    </row>
    <row r="262" spans="1:35" ht="180">
      <c r="A262" s="59">
        <v>83</v>
      </c>
      <c r="B262" s="60" t="s">
        <v>662</v>
      </c>
      <c r="C26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62" s="62">
        <v>1.012</v>
      </c>
      <c r="E262" s="63">
        <v>113.06</v>
      </c>
      <c r="F262" s="63">
        <v>113.06</v>
      </c>
      <c r="G262" s="63"/>
      <c r="H262" s="64" t="s">
        <v>663</v>
      </c>
      <c r="I262" s="65">
        <v>1100</v>
      </c>
      <c r="J262" s="63"/>
      <c r="K262" s="63">
        <v>1100</v>
      </c>
      <c r="L262" s="63" t="str">
        <f>IF(1.012*0=0," ",TEXT(,ROUND((1.012*0*1),2)))</f>
        <v> </v>
      </c>
      <c r="M262" s="63"/>
      <c r="N262" s="63"/>
      <c r="O262" s="66"/>
      <c r="P262" s="66"/>
      <c r="Q262" s="66"/>
      <c r="R262" s="66"/>
      <c r="S262" s="66"/>
      <c r="T262" s="67"/>
      <c r="U262" s="67"/>
      <c r="V262" s="67"/>
      <c r="W262" s="67"/>
      <c r="X262" s="67"/>
      <c r="Y262" s="67"/>
      <c r="Z262" s="67"/>
      <c r="AA262" s="67" t="s">
        <v>136</v>
      </c>
      <c r="AB262" s="67" t="s">
        <v>137</v>
      </c>
      <c r="AC262" s="67"/>
      <c r="AD262" s="67"/>
      <c r="AE262" s="69" t="s">
        <v>146</v>
      </c>
      <c r="AF262" s="67" t="s">
        <v>664</v>
      </c>
      <c r="AG262" s="67" t="s">
        <v>140</v>
      </c>
      <c r="AH262" s="67"/>
      <c r="AI262" s="67">
        <f>0+0</f>
        <v>0</v>
      </c>
    </row>
    <row r="263" spans="1:35" ht="180">
      <c r="A263" s="59">
        <v>84</v>
      </c>
      <c r="B263" s="60" t="s">
        <v>665</v>
      </c>
      <c r="C26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63" s="62">
        <v>0.017</v>
      </c>
      <c r="E263" s="63">
        <v>158.86</v>
      </c>
      <c r="F263" s="63">
        <v>158.86</v>
      </c>
      <c r="G263" s="63"/>
      <c r="H263" s="64" t="s">
        <v>666</v>
      </c>
      <c r="I263" s="65">
        <v>26</v>
      </c>
      <c r="J263" s="63"/>
      <c r="K263" s="63">
        <v>26</v>
      </c>
      <c r="L263" s="63" t="str">
        <f>IF(0.017*0=0," ",TEXT(,ROUND((0.017*0*1),2)))</f>
        <v> </v>
      </c>
      <c r="M263" s="63"/>
      <c r="N263" s="63"/>
      <c r="O263" s="66"/>
      <c r="P263" s="66"/>
      <c r="Q263" s="66"/>
      <c r="R263" s="66"/>
      <c r="S263" s="66"/>
      <c r="T263" s="67"/>
      <c r="U263" s="67"/>
      <c r="V263" s="67"/>
      <c r="W263" s="67"/>
      <c r="X263" s="67"/>
      <c r="Y263" s="67"/>
      <c r="Z263" s="67"/>
      <c r="AA263" s="67" t="s">
        <v>136</v>
      </c>
      <c r="AB263" s="67" t="s">
        <v>137</v>
      </c>
      <c r="AC263" s="67"/>
      <c r="AD263" s="67"/>
      <c r="AE263" s="69" t="s">
        <v>146</v>
      </c>
      <c r="AF263" s="67" t="s">
        <v>667</v>
      </c>
      <c r="AG263" s="67" t="s">
        <v>140</v>
      </c>
      <c r="AH263" s="67"/>
      <c r="AI263" s="67">
        <f>0+0</f>
        <v>0</v>
      </c>
    </row>
    <row r="264" spans="1:35" ht="180">
      <c r="A264" s="59">
        <v>85</v>
      </c>
      <c r="B264" s="60" t="s">
        <v>668</v>
      </c>
      <c r="C264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264" s="62">
        <v>5.317</v>
      </c>
      <c r="E264" s="63">
        <v>213.56</v>
      </c>
      <c r="F264" s="63">
        <v>213.56</v>
      </c>
      <c r="G264" s="63"/>
      <c r="H264" s="64" t="s">
        <v>669</v>
      </c>
      <c r="I264" s="65">
        <v>10912</v>
      </c>
      <c r="J264" s="63"/>
      <c r="K264" s="63">
        <v>10912</v>
      </c>
      <c r="L264" s="63" t="str">
        <f>IF(5.317*0=0," ",TEXT(,ROUND((5.317*0*1),2)))</f>
        <v> </v>
      </c>
      <c r="M264" s="63"/>
      <c r="N264" s="63"/>
      <c r="O264" s="66"/>
      <c r="P264" s="66"/>
      <c r="Q264" s="66"/>
      <c r="R264" s="66"/>
      <c r="S264" s="66"/>
      <c r="T264" s="67"/>
      <c r="U264" s="67"/>
      <c r="V264" s="67"/>
      <c r="W264" s="67"/>
      <c r="X264" s="67"/>
      <c r="Y264" s="67"/>
      <c r="Z264" s="67"/>
      <c r="AA264" s="67" t="s">
        <v>136</v>
      </c>
      <c r="AB264" s="67" t="s">
        <v>137</v>
      </c>
      <c r="AC264" s="67"/>
      <c r="AD264" s="67"/>
      <c r="AE264" s="69" t="s">
        <v>146</v>
      </c>
      <c r="AF264" s="67" t="s">
        <v>0</v>
      </c>
      <c r="AG264" s="67" t="s">
        <v>140</v>
      </c>
      <c r="AH264" s="67"/>
      <c r="AI264" s="67">
        <f>0+0</f>
        <v>0</v>
      </c>
    </row>
    <row r="265" spans="1:19" ht="12.75">
      <c r="A265" s="80" t="s">
        <v>148</v>
      </c>
      <c r="B265" s="79"/>
      <c r="C265" s="79"/>
      <c r="D265" s="79"/>
      <c r="E265" s="79"/>
      <c r="F265" s="79"/>
      <c r="G265" s="79"/>
      <c r="H265" s="79"/>
      <c r="I265" s="65">
        <v>27347</v>
      </c>
      <c r="J265" s="63"/>
      <c r="K265" s="63">
        <v>27347</v>
      </c>
      <c r="L265" s="63"/>
      <c r="M265" s="63"/>
      <c r="N265" s="63"/>
      <c r="O265" s="9"/>
      <c r="P265" s="10"/>
      <c r="Q265" s="9"/>
      <c r="R265" s="9"/>
      <c r="S265" s="9"/>
    </row>
    <row r="266" spans="1:19" ht="12.75">
      <c r="A266" s="81" t="s">
        <v>1</v>
      </c>
      <c r="B266" s="77"/>
      <c r="C266" s="77"/>
      <c r="D266" s="77"/>
      <c r="E266" s="77"/>
      <c r="F266" s="77"/>
      <c r="G266" s="77"/>
      <c r="H266" s="77"/>
      <c r="I266" s="65"/>
      <c r="J266" s="63"/>
      <c r="K266" s="63"/>
      <c r="L266" s="63"/>
      <c r="M266" s="63"/>
      <c r="N266" s="63"/>
      <c r="O266" s="9"/>
      <c r="P266" s="10"/>
      <c r="Q266" s="9"/>
      <c r="R266" s="9"/>
      <c r="S266" s="9"/>
    </row>
    <row r="267" spans="1:19" ht="12.75">
      <c r="A267" s="80" t="s">
        <v>173</v>
      </c>
      <c r="B267" s="79"/>
      <c r="C267" s="79"/>
      <c r="D267" s="79"/>
      <c r="E267" s="79"/>
      <c r="F267" s="79"/>
      <c r="G267" s="79"/>
      <c r="H267" s="79"/>
      <c r="I267" s="65">
        <v>27347</v>
      </c>
      <c r="J267" s="63"/>
      <c r="K267" s="63"/>
      <c r="L267" s="63"/>
      <c r="M267" s="63"/>
      <c r="N267" s="63"/>
      <c r="O267" s="9"/>
      <c r="P267" s="10"/>
      <c r="Q267" s="9"/>
      <c r="R267" s="9"/>
      <c r="S267" s="9"/>
    </row>
    <row r="268" spans="1:19" ht="12.75">
      <c r="A268" s="80" t="s">
        <v>174</v>
      </c>
      <c r="B268" s="79"/>
      <c r="C268" s="79"/>
      <c r="D268" s="79"/>
      <c r="E268" s="79"/>
      <c r="F268" s="79"/>
      <c r="G268" s="79"/>
      <c r="H268" s="79"/>
      <c r="I268" s="65">
        <v>27347</v>
      </c>
      <c r="J268" s="63"/>
      <c r="K268" s="63"/>
      <c r="L268" s="63"/>
      <c r="M268" s="63"/>
      <c r="N268" s="63"/>
      <c r="O268" s="9"/>
      <c r="P268" s="10"/>
      <c r="Q268" s="9"/>
      <c r="R268" s="9"/>
      <c r="S268" s="9"/>
    </row>
    <row r="269" spans="1:19" ht="12.75">
      <c r="A269" s="80" t="s">
        <v>175</v>
      </c>
      <c r="B269" s="79"/>
      <c r="C269" s="79"/>
      <c r="D269" s="79"/>
      <c r="E269" s="79"/>
      <c r="F269" s="79"/>
      <c r="G269" s="79"/>
      <c r="H269" s="79"/>
      <c r="I269" s="65"/>
      <c r="J269" s="63"/>
      <c r="K269" s="63"/>
      <c r="L269" s="63"/>
      <c r="M269" s="63"/>
      <c r="N269" s="63"/>
      <c r="O269" s="9"/>
      <c r="P269" s="10"/>
      <c r="Q269" s="9"/>
      <c r="R269" s="9"/>
      <c r="S269" s="9"/>
    </row>
    <row r="270" spans="1:19" ht="12.75">
      <c r="A270" s="80" t="s">
        <v>176</v>
      </c>
      <c r="B270" s="79"/>
      <c r="C270" s="79"/>
      <c r="D270" s="79"/>
      <c r="E270" s="79"/>
      <c r="F270" s="79"/>
      <c r="G270" s="79"/>
      <c r="H270" s="79"/>
      <c r="I270" s="65">
        <v>27347</v>
      </c>
      <c r="J270" s="63"/>
      <c r="K270" s="63"/>
      <c r="L270" s="63"/>
      <c r="M270" s="63"/>
      <c r="N270" s="63"/>
      <c r="O270" s="9"/>
      <c r="P270" s="10"/>
      <c r="Q270" s="9"/>
      <c r="R270" s="9"/>
      <c r="S270" s="9"/>
    </row>
    <row r="271" spans="1:19" ht="12.75">
      <c r="A271" s="81" t="s">
        <v>2</v>
      </c>
      <c r="B271" s="77"/>
      <c r="C271" s="77"/>
      <c r="D271" s="77"/>
      <c r="E271" s="77"/>
      <c r="F271" s="77"/>
      <c r="G271" s="77"/>
      <c r="H271" s="77"/>
      <c r="I271" s="65">
        <v>27347</v>
      </c>
      <c r="J271" s="63"/>
      <c r="K271" s="63"/>
      <c r="L271" s="63"/>
      <c r="M271" s="63"/>
      <c r="N271" s="63"/>
      <c r="O271" s="9"/>
      <c r="P271" s="10"/>
      <c r="Q271" s="9"/>
      <c r="R271" s="9"/>
      <c r="S271" s="9"/>
    </row>
    <row r="272" spans="1:19" ht="22.5">
      <c r="A272" s="78" t="s">
        <v>3</v>
      </c>
      <c r="B272" s="79"/>
      <c r="C272" s="79"/>
      <c r="D272" s="79"/>
      <c r="E272" s="79"/>
      <c r="F272" s="79"/>
      <c r="G272" s="79"/>
      <c r="H272" s="79"/>
      <c r="I272" s="72">
        <v>1198400</v>
      </c>
      <c r="J272" s="72">
        <v>267657</v>
      </c>
      <c r="K272" s="72" t="s">
        <v>4</v>
      </c>
      <c r="L272" s="72">
        <v>821580</v>
      </c>
      <c r="M272" s="72"/>
      <c r="N272" s="72" t="s">
        <v>5</v>
      </c>
      <c r="O272" s="9"/>
      <c r="P272" s="10"/>
      <c r="Q272" s="9"/>
      <c r="R272" s="9"/>
      <c r="S272" s="9"/>
    </row>
    <row r="273" spans="1:19" ht="22.5">
      <c r="A273" s="78" t="s">
        <v>6</v>
      </c>
      <c r="B273" s="79"/>
      <c r="C273" s="79"/>
      <c r="D273" s="79"/>
      <c r="E273" s="79"/>
      <c r="F273" s="79"/>
      <c r="G273" s="79"/>
      <c r="H273" s="79"/>
      <c r="I273" s="72">
        <v>1240206</v>
      </c>
      <c r="J273" s="72">
        <v>294665</v>
      </c>
      <c r="K273" s="72" t="s">
        <v>7</v>
      </c>
      <c r="L273" s="72">
        <v>821580</v>
      </c>
      <c r="M273" s="72"/>
      <c r="N273" s="72" t="s">
        <v>8</v>
      </c>
      <c r="O273" s="9"/>
      <c r="P273" s="10"/>
      <c r="Q273" s="9"/>
      <c r="R273" s="9"/>
      <c r="S273" s="9"/>
    </row>
    <row r="274" spans="1:19" ht="12.75">
      <c r="A274" s="78" t="s">
        <v>152</v>
      </c>
      <c r="B274" s="79"/>
      <c r="C274" s="79"/>
      <c r="D274" s="79"/>
      <c r="E274" s="79"/>
      <c r="F274" s="79"/>
      <c r="G274" s="79"/>
      <c r="H274" s="79"/>
      <c r="I274" s="72"/>
      <c r="J274" s="72"/>
      <c r="K274" s="72"/>
      <c r="L274" s="72"/>
      <c r="M274" s="72"/>
      <c r="N274" s="72"/>
      <c r="O274" s="9"/>
      <c r="P274" s="10"/>
      <c r="Q274" s="9"/>
      <c r="R274" s="9"/>
      <c r="S274" s="9"/>
    </row>
    <row r="275" spans="1:19" ht="24" customHeight="1">
      <c r="A275" s="78" t="s">
        <v>9</v>
      </c>
      <c r="B275" s="79"/>
      <c r="C275" s="79"/>
      <c r="D275" s="79"/>
      <c r="E275" s="79"/>
      <c r="F275" s="79"/>
      <c r="G275" s="79"/>
      <c r="H275" s="79"/>
      <c r="I275" s="72">
        <v>41806</v>
      </c>
      <c r="J275" s="72">
        <v>27008</v>
      </c>
      <c r="K275" s="72" t="s">
        <v>10</v>
      </c>
      <c r="L275" s="72"/>
      <c r="M275" s="72"/>
      <c r="N275" s="72" t="s">
        <v>11</v>
      </c>
      <c r="O275" s="9"/>
      <c r="P275" s="10"/>
      <c r="Q275" s="9"/>
      <c r="R275" s="9"/>
      <c r="S275" s="9"/>
    </row>
    <row r="276" spans="1:19" ht="12.75">
      <c r="A276" s="78" t="s">
        <v>151</v>
      </c>
      <c r="B276" s="79"/>
      <c r="C276" s="79"/>
      <c r="D276" s="79"/>
      <c r="E276" s="79"/>
      <c r="F276" s="79"/>
      <c r="G276" s="79"/>
      <c r="H276" s="79"/>
      <c r="I276" s="72">
        <v>251261</v>
      </c>
      <c r="J276" s="72"/>
      <c r="K276" s="72"/>
      <c r="L276" s="72"/>
      <c r="M276" s="72"/>
      <c r="N276" s="72"/>
      <c r="O276" s="9"/>
      <c r="P276" s="10"/>
      <c r="Q276" s="9"/>
      <c r="R276" s="9"/>
      <c r="S276" s="9"/>
    </row>
    <row r="277" spans="1:19" ht="12.75">
      <c r="A277" s="78" t="s">
        <v>152</v>
      </c>
      <c r="B277" s="79"/>
      <c r="C277" s="79"/>
      <c r="D277" s="79"/>
      <c r="E277" s="79"/>
      <c r="F277" s="79"/>
      <c r="G277" s="79"/>
      <c r="H277" s="79"/>
      <c r="I277" s="72"/>
      <c r="J277" s="72"/>
      <c r="K277" s="72"/>
      <c r="L277" s="72"/>
      <c r="M277" s="72"/>
      <c r="N277" s="72"/>
      <c r="O277" s="9"/>
      <c r="P277" s="10"/>
      <c r="Q277" s="9"/>
      <c r="R277" s="9"/>
      <c r="S277" s="9"/>
    </row>
    <row r="278" spans="1:19" ht="12.75">
      <c r="A278" s="78" t="s">
        <v>153</v>
      </c>
      <c r="B278" s="79"/>
      <c r="C278" s="79"/>
      <c r="D278" s="79"/>
      <c r="E278" s="79"/>
      <c r="F278" s="79"/>
      <c r="G278" s="79"/>
      <c r="H278" s="79"/>
      <c r="I278" s="72">
        <v>527</v>
      </c>
      <c r="J278" s="72"/>
      <c r="K278" s="72"/>
      <c r="L278" s="72"/>
      <c r="M278" s="72"/>
      <c r="N278" s="72"/>
      <c r="O278" s="9"/>
      <c r="P278" s="10"/>
      <c r="Q278" s="9"/>
      <c r="R278" s="9"/>
      <c r="S278" s="9"/>
    </row>
    <row r="279" spans="1:19" ht="12.75">
      <c r="A279" s="78" t="s">
        <v>154</v>
      </c>
      <c r="B279" s="79"/>
      <c r="C279" s="79"/>
      <c r="D279" s="79"/>
      <c r="E279" s="79"/>
      <c r="F279" s="79"/>
      <c r="G279" s="79"/>
      <c r="H279" s="79"/>
      <c r="I279" s="72">
        <v>231</v>
      </c>
      <c r="J279" s="72"/>
      <c r="K279" s="72"/>
      <c r="L279" s="72"/>
      <c r="M279" s="72"/>
      <c r="N279" s="72"/>
      <c r="O279" s="9"/>
      <c r="P279" s="10"/>
      <c r="Q279" s="9"/>
      <c r="R279" s="9"/>
      <c r="S279" s="9"/>
    </row>
    <row r="280" spans="1:19" ht="12.75">
      <c r="A280" s="78" t="s">
        <v>12</v>
      </c>
      <c r="B280" s="79"/>
      <c r="C280" s="79"/>
      <c r="D280" s="79"/>
      <c r="E280" s="79"/>
      <c r="F280" s="79"/>
      <c r="G280" s="79"/>
      <c r="H280" s="79"/>
      <c r="I280" s="72">
        <v>29785</v>
      </c>
      <c r="J280" s="72"/>
      <c r="K280" s="72"/>
      <c r="L280" s="72"/>
      <c r="M280" s="72"/>
      <c r="N280" s="72"/>
      <c r="O280" s="9"/>
      <c r="P280" s="10"/>
      <c r="Q280" s="9"/>
      <c r="R280" s="9"/>
      <c r="S280" s="9"/>
    </row>
    <row r="281" spans="1:19" ht="12.75">
      <c r="A281" s="78" t="s">
        <v>405</v>
      </c>
      <c r="B281" s="79"/>
      <c r="C281" s="79"/>
      <c r="D281" s="79"/>
      <c r="E281" s="79"/>
      <c r="F281" s="79"/>
      <c r="G281" s="79"/>
      <c r="H281" s="79"/>
      <c r="I281" s="72">
        <v>3375</v>
      </c>
      <c r="J281" s="72"/>
      <c r="K281" s="72"/>
      <c r="L281" s="72"/>
      <c r="M281" s="72"/>
      <c r="N281" s="72"/>
      <c r="O281" s="9"/>
      <c r="P281" s="10"/>
      <c r="Q281" s="9"/>
      <c r="R281" s="9"/>
      <c r="S281" s="9"/>
    </row>
    <row r="282" spans="1:19" ht="12.75">
      <c r="A282" s="78" t="s">
        <v>406</v>
      </c>
      <c r="B282" s="79"/>
      <c r="C282" s="79"/>
      <c r="D282" s="79"/>
      <c r="E282" s="79"/>
      <c r="F282" s="79"/>
      <c r="G282" s="79"/>
      <c r="H282" s="79"/>
      <c r="I282" s="72">
        <v>5894</v>
      </c>
      <c r="J282" s="72"/>
      <c r="K282" s="72"/>
      <c r="L282" s="72"/>
      <c r="M282" s="72"/>
      <c r="N282" s="72"/>
      <c r="O282" s="9"/>
      <c r="P282" s="10"/>
      <c r="Q282" s="9"/>
      <c r="R282" s="9"/>
      <c r="S282" s="9"/>
    </row>
    <row r="283" spans="1:19" ht="12.75">
      <c r="A283" s="78" t="s">
        <v>13</v>
      </c>
      <c r="B283" s="79"/>
      <c r="C283" s="79"/>
      <c r="D283" s="79"/>
      <c r="E283" s="79"/>
      <c r="F283" s="79"/>
      <c r="G283" s="79"/>
      <c r="H283" s="79"/>
      <c r="I283" s="72">
        <v>50226</v>
      </c>
      <c r="J283" s="72"/>
      <c r="K283" s="72"/>
      <c r="L283" s="72"/>
      <c r="M283" s="72"/>
      <c r="N283" s="72"/>
      <c r="O283" s="9"/>
      <c r="P283" s="10"/>
      <c r="Q283" s="9"/>
      <c r="R283" s="9"/>
      <c r="S283" s="9"/>
    </row>
    <row r="284" spans="1:19" ht="12.75">
      <c r="A284" s="78" t="s">
        <v>635</v>
      </c>
      <c r="B284" s="79"/>
      <c r="C284" s="79"/>
      <c r="D284" s="79"/>
      <c r="E284" s="79"/>
      <c r="F284" s="79"/>
      <c r="G284" s="79"/>
      <c r="H284" s="79"/>
      <c r="I284" s="72">
        <v>5848</v>
      </c>
      <c r="J284" s="72"/>
      <c r="K284" s="72"/>
      <c r="L284" s="72"/>
      <c r="M284" s="72"/>
      <c r="N284" s="72"/>
      <c r="O284" s="9"/>
      <c r="P284" s="10"/>
      <c r="Q284" s="9"/>
      <c r="R284" s="9"/>
      <c r="S284" s="9"/>
    </row>
    <row r="285" spans="1:19" ht="12.75">
      <c r="A285" s="78" t="s">
        <v>156</v>
      </c>
      <c r="B285" s="79"/>
      <c r="C285" s="79"/>
      <c r="D285" s="79"/>
      <c r="E285" s="79"/>
      <c r="F285" s="79"/>
      <c r="G285" s="79"/>
      <c r="H285" s="79"/>
      <c r="I285" s="72">
        <v>19444</v>
      </c>
      <c r="J285" s="72"/>
      <c r="K285" s="72"/>
      <c r="L285" s="72"/>
      <c r="M285" s="72"/>
      <c r="N285" s="72"/>
      <c r="O285" s="9"/>
      <c r="P285" s="10"/>
      <c r="Q285" s="9"/>
      <c r="R285" s="9"/>
      <c r="S285" s="9"/>
    </row>
    <row r="286" spans="1:19" ht="12.75">
      <c r="A286" s="78" t="s">
        <v>14</v>
      </c>
      <c r="B286" s="79"/>
      <c r="C286" s="79"/>
      <c r="D286" s="79"/>
      <c r="E286" s="79"/>
      <c r="F286" s="79"/>
      <c r="G286" s="79"/>
      <c r="H286" s="79"/>
      <c r="I286" s="72">
        <v>46804</v>
      </c>
      <c r="J286" s="72"/>
      <c r="K286" s="72"/>
      <c r="L286" s="72"/>
      <c r="M286" s="72"/>
      <c r="N286" s="72"/>
      <c r="O286" s="9"/>
      <c r="P286" s="10"/>
      <c r="Q286" s="9"/>
      <c r="R286" s="9"/>
      <c r="S286" s="9"/>
    </row>
    <row r="287" spans="1:19" ht="12.75">
      <c r="A287" s="78" t="s">
        <v>15</v>
      </c>
      <c r="B287" s="79"/>
      <c r="C287" s="79"/>
      <c r="D287" s="79"/>
      <c r="E287" s="79"/>
      <c r="F287" s="79"/>
      <c r="G287" s="79"/>
      <c r="H287" s="79"/>
      <c r="I287" s="72">
        <v>75240</v>
      </c>
      <c r="J287" s="72"/>
      <c r="K287" s="72"/>
      <c r="L287" s="72"/>
      <c r="M287" s="72"/>
      <c r="N287" s="72"/>
      <c r="O287" s="9"/>
      <c r="P287" s="10"/>
      <c r="Q287" s="9"/>
      <c r="R287" s="9"/>
      <c r="S287" s="9"/>
    </row>
    <row r="288" spans="1:19" ht="12.75">
      <c r="A288" s="78" t="s">
        <v>16</v>
      </c>
      <c r="B288" s="79"/>
      <c r="C288" s="79"/>
      <c r="D288" s="79"/>
      <c r="E288" s="79"/>
      <c r="F288" s="79"/>
      <c r="G288" s="79"/>
      <c r="H288" s="79"/>
      <c r="I288" s="72">
        <v>7165</v>
      </c>
      <c r="J288" s="72"/>
      <c r="K288" s="72"/>
      <c r="L288" s="72"/>
      <c r="M288" s="72"/>
      <c r="N288" s="72"/>
      <c r="O288" s="9"/>
      <c r="P288" s="10"/>
      <c r="Q288" s="9"/>
      <c r="R288" s="9"/>
      <c r="S288" s="9"/>
    </row>
    <row r="289" spans="1:19" ht="12.75">
      <c r="A289" s="78" t="s">
        <v>17</v>
      </c>
      <c r="B289" s="79"/>
      <c r="C289" s="79"/>
      <c r="D289" s="79"/>
      <c r="E289" s="79"/>
      <c r="F289" s="79"/>
      <c r="G289" s="79"/>
      <c r="H289" s="79"/>
      <c r="I289" s="72">
        <v>6722</v>
      </c>
      <c r="J289" s="72"/>
      <c r="K289" s="72"/>
      <c r="L289" s="72"/>
      <c r="M289" s="72"/>
      <c r="N289" s="72"/>
      <c r="O289" s="9"/>
      <c r="P289" s="10"/>
      <c r="Q289" s="9"/>
      <c r="R289" s="9"/>
      <c r="S289" s="9"/>
    </row>
    <row r="290" spans="1:19" ht="12.75">
      <c r="A290" s="78" t="s">
        <v>158</v>
      </c>
      <c r="B290" s="79"/>
      <c r="C290" s="79"/>
      <c r="D290" s="79"/>
      <c r="E290" s="79"/>
      <c r="F290" s="79"/>
      <c r="G290" s="79"/>
      <c r="H290" s="79"/>
      <c r="I290" s="72">
        <v>140527</v>
      </c>
      <c r="J290" s="72"/>
      <c r="K290" s="72"/>
      <c r="L290" s="72"/>
      <c r="M290" s="72"/>
      <c r="N290" s="72"/>
      <c r="O290" s="9"/>
      <c r="P290" s="10"/>
      <c r="Q290" s="9"/>
      <c r="R290" s="9"/>
      <c r="S290" s="9"/>
    </row>
    <row r="291" spans="1:19" ht="12.75">
      <c r="A291" s="78" t="s">
        <v>152</v>
      </c>
      <c r="B291" s="79"/>
      <c r="C291" s="79"/>
      <c r="D291" s="79"/>
      <c r="E291" s="79"/>
      <c r="F291" s="79"/>
      <c r="G291" s="79"/>
      <c r="H291" s="79"/>
      <c r="I291" s="72"/>
      <c r="J291" s="72"/>
      <c r="K291" s="72"/>
      <c r="L291" s="72"/>
      <c r="M291" s="72"/>
      <c r="N291" s="72"/>
      <c r="O291" s="9"/>
      <c r="P291" s="10"/>
      <c r="Q291" s="9"/>
      <c r="R291" s="9"/>
      <c r="S291" s="9"/>
    </row>
    <row r="292" spans="1:19" ht="12.75">
      <c r="A292" s="78" t="s">
        <v>159</v>
      </c>
      <c r="B292" s="79"/>
      <c r="C292" s="79"/>
      <c r="D292" s="79"/>
      <c r="E292" s="79"/>
      <c r="F292" s="79"/>
      <c r="G292" s="79"/>
      <c r="H292" s="79"/>
      <c r="I292" s="72">
        <v>334</v>
      </c>
      <c r="J292" s="72"/>
      <c r="K292" s="72"/>
      <c r="L292" s="72"/>
      <c r="M292" s="72"/>
      <c r="N292" s="72"/>
      <c r="O292" s="9"/>
      <c r="P292" s="10"/>
      <c r="Q292" s="9"/>
      <c r="R292" s="9"/>
      <c r="S292" s="9"/>
    </row>
    <row r="293" spans="1:19" ht="12.75">
      <c r="A293" s="78" t="s">
        <v>640</v>
      </c>
      <c r="B293" s="79"/>
      <c r="C293" s="79"/>
      <c r="D293" s="79"/>
      <c r="E293" s="79"/>
      <c r="F293" s="79"/>
      <c r="G293" s="79"/>
      <c r="H293" s="79"/>
      <c r="I293" s="72">
        <v>2705</v>
      </c>
      <c r="J293" s="72"/>
      <c r="K293" s="72"/>
      <c r="L293" s="72"/>
      <c r="M293" s="72"/>
      <c r="N293" s="72"/>
      <c r="O293" s="9"/>
      <c r="P293" s="10"/>
      <c r="Q293" s="9"/>
      <c r="R293" s="9"/>
      <c r="S293" s="9"/>
    </row>
    <row r="294" spans="1:19" ht="12.75">
      <c r="A294" s="78" t="s">
        <v>160</v>
      </c>
      <c r="B294" s="79"/>
      <c r="C294" s="79"/>
      <c r="D294" s="79"/>
      <c r="E294" s="79"/>
      <c r="F294" s="79"/>
      <c r="G294" s="79"/>
      <c r="H294" s="79"/>
      <c r="I294" s="72">
        <v>165</v>
      </c>
      <c r="J294" s="72"/>
      <c r="K294" s="72"/>
      <c r="L294" s="72"/>
      <c r="M294" s="72"/>
      <c r="N294" s="72"/>
      <c r="O294" s="9"/>
      <c r="P294" s="10"/>
      <c r="Q294" s="9"/>
      <c r="R294" s="9"/>
      <c r="S294" s="9"/>
    </row>
    <row r="295" spans="1:19" ht="12.75">
      <c r="A295" s="78" t="s">
        <v>18</v>
      </c>
      <c r="B295" s="79"/>
      <c r="C295" s="79"/>
      <c r="D295" s="79"/>
      <c r="E295" s="79"/>
      <c r="F295" s="79"/>
      <c r="G295" s="79"/>
      <c r="H295" s="79"/>
      <c r="I295" s="72">
        <v>22362</v>
      </c>
      <c r="J295" s="72"/>
      <c r="K295" s="72"/>
      <c r="L295" s="72"/>
      <c r="M295" s="72"/>
      <c r="N295" s="72"/>
      <c r="O295" s="9"/>
      <c r="P295" s="10"/>
      <c r="Q295" s="9"/>
      <c r="R295" s="9"/>
      <c r="S295" s="9"/>
    </row>
    <row r="296" spans="1:19" ht="12.75">
      <c r="A296" s="78" t="s">
        <v>19</v>
      </c>
      <c r="B296" s="79"/>
      <c r="C296" s="79"/>
      <c r="D296" s="79"/>
      <c r="E296" s="79"/>
      <c r="F296" s="79"/>
      <c r="G296" s="79"/>
      <c r="H296" s="79"/>
      <c r="I296" s="72">
        <v>35985</v>
      </c>
      <c r="J296" s="72"/>
      <c r="K296" s="72"/>
      <c r="L296" s="72"/>
      <c r="M296" s="72"/>
      <c r="N296" s="72"/>
      <c r="O296" s="9"/>
      <c r="P296" s="10"/>
      <c r="Q296" s="9"/>
      <c r="R296" s="9"/>
      <c r="S296" s="9"/>
    </row>
    <row r="297" spans="1:19" ht="12.75">
      <c r="A297" s="78" t="s">
        <v>20</v>
      </c>
      <c r="B297" s="79"/>
      <c r="C297" s="79"/>
      <c r="D297" s="79"/>
      <c r="E297" s="79"/>
      <c r="F297" s="79"/>
      <c r="G297" s="79"/>
      <c r="H297" s="79"/>
      <c r="I297" s="72">
        <v>25745</v>
      </c>
      <c r="J297" s="72"/>
      <c r="K297" s="72"/>
      <c r="L297" s="72"/>
      <c r="M297" s="72"/>
      <c r="N297" s="72"/>
      <c r="O297" s="9"/>
      <c r="P297" s="10"/>
      <c r="Q297" s="9"/>
      <c r="R297" s="9"/>
      <c r="S297" s="9"/>
    </row>
    <row r="298" spans="1:19" ht="12.75">
      <c r="A298" s="78" t="s">
        <v>21</v>
      </c>
      <c r="B298" s="79"/>
      <c r="C298" s="79"/>
      <c r="D298" s="79"/>
      <c r="E298" s="79"/>
      <c r="F298" s="79"/>
      <c r="G298" s="79"/>
      <c r="H298" s="79"/>
      <c r="I298" s="72">
        <v>42560</v>
      </c>
      <c r="J298" s="72"/>
      <c r="K298" s="72"/>
      <c r="L298" s="72"/>
      <c r="M298" s="72"/>
      <c r="N298" s="72"/>
      <c r="O298" s="9"/>
      <c r="P298" s="10"/>
      <c r="Q298" s="9"/>
      <c r="R298" s="9"/>
      <c r="S298" s="9"/>
    </row>
    <row r="299" spans="1:19" ht="12.75">
      <c r="A299" s="78" t="s">
        <v>22</v>
      </c>
      <c r="B299" s="79"/>
      <c r="C299" s="79"/>
      <c r="D299" s="79"/>
      <c r="E299" s="79"/>
      <c r="F299" s="79"/>
      <c r="G299" s="79"/>
      <c r="H299" s="79"/>
      <c r="I299" s="72">
        <v>4160</v>
      </c>
      <c r="J299" s="72"/>
      <c r="K299" s="72"/>
      <c r="L299" s="72"/>
      <c r="M299" s="72"/>
      <c r="N299" s="72"/>
      <c r="O299" s="9"/>
      <c r="P299" s="10"/>
      <c r="Q299" s="9"/>
      <c r="R299" s="9"/>
      <c r="S299" s="9"/>
    </row>
    <row r="300" spans="1:19" ht="12.75">
      <c r="A300" s="78" t="s">
        <v>23</v>
      </c>
      <c r="B300" s="79"/>
      <c r="C300" s="79"/>
      <c r="D300" s="79"/>
      <c r="E300" s="79"/>
      <c r="F300" s="79"/>
      <c r="G300" s="79"/>
      <c r="H300" s="79"/>
      <c r="I300" s="72">
        <v>3841</v>
      </c>
      <c r="J300" s="72"/>
      <c r="K300" s="72"/>
      <c r="L300" s="72"/>
      <c r="M300" s="72"/>
      <c r="N300" s="72"/>
      <c r="O300" s="9"/>
      <c r="P300" s="10"/>
      <c r="Q300" s="9"/>
      <c r="R300" s="9"/>
      <c r="S300" s="9"/>
    </row>
    <row r="301" spans="1:19" ht="12.75">
      <c r="A301" s="78" t="s">
        <v>416</v>
      </c>
      <c r="B301" s="79"/>
      <c r="C301" s="79"/>
      <c r="D301" s="79"/>
      <c r="E301" s="79"/>
      <c r="F301" s="79"/>
      <c r="G301" s="79"/>
      <c r="H301" s="79"/>
      <c r="I301" s="72">
        <v>2670</v>
      </c>
      <c r="J301" s="72"/>
      <c r="K301" s="72"/>
      <c r="L301" s="72"/>
      <c r="M301" s="72"/>
      <c r="N301" s="72"/>
      <c r="O301" s="9"/>
      <c r="P301" s="10"/>
      <c r="Q301" s="9"/>
      <c r="R301" s="9"/>
      <c r="S301" s="9"/>
    </row>
    <row r="302" spans="1:19" ht="12.75">
      <c r="A302" s="76" t="s">
        <v>24</v>
      </c>
      <c r="B302" s="77"/>
      <c r="C302" s="77"/>
      <c r="D302" s="77"/>
      <c r="E302" s="77"/>
      <c r="F302" s="77"/>
      <c r="G302" s="77"/>
      <c r="H302" s="77"/>
      <c r="I302" s="72"/>
      <c r="J302" s="72"/>
      <c r="K302" s="72"/>
      <c r="L302" s="72"/>
      <c r="M302" s="72"/>
      <c r="N302" s="72"/>
      <c r="O302" s="9"/>
      <c r="P302" s="10"/>
      <c r="Q302" s="9"/>
      <c r="R302" s="9"/>
      <c r="S302" s="9"/>
    </row>
    <row r="303" spans="1:19" ht="22.5">
      <c r="A303" s="78" t="s">
        <v>418</v>
      </c>
      <c r="B303" s="79"/>
      <c r="C303" s="79"/>
      <c r="D303" s="79"/>
      <c r="E303" s="79"/>
      <c r="F303" s="79"/>
      <c r="G303" s="79"/>
      <c r="H303" s="79"/>
      <c r="I303" s="72">
        <v>1614563</v>
      </c>
      <c r="J303" s="72"/>
      <c r="K303" s="72"/>
      <c r="L303" s="72"/>
      <c r="M303" s="72"/>
      <c r="N303" s="72" t="s">
        <v>25</v>
      </c>
      <c r="O303" s="9"/>
      <c r="P303" s="10"/>
      <c r="Q303" s="9"/>
      <c r="R303" s="9"/>
      <c r="S303" s="9"/>
    </row>
    <row r="304" spans="1:19" ht="12.75">
      <c r="A304" s="78" t="s">
        <v>420</v>
      </c>
      <c r="B304" s="79"/>
      <c r="C304" s="79"/>
      <c r="D304" s="79"/>
      <c r="E304" s="79"/>
      <c r="F304" s="79"/>
      <c r="G304" s="79"/>
      <c r="H304" s="79"/>
      <c r="I304" s="72">
        <v>17431</v>
      </c>
      <c r="J304" s="72"/>
      <c r="K304" s="72"/>
      <c r="L304" s="72"/>
      <c r="M304" s="72"/>
      <c r="N304" s="72">
        <v>47.6</v>
      </c>
      <c r="O304" s="9"/>
      <c r="P304" s="10"/>
      <c r="Q304" s="9"/>
      <c r="R304" s="9"/>
      <c r="S304" s="9"/>
    </row>
    <row r="305" spans="1:19" ht="22.5">
      <c r="A305" s="78" t="s">
        <v>174</v>
      </c>
      <c r="B305" s="79"/>
      <c r="C305" s="79"/>
      <c r="D305" s="79"/>
      <c r="E305" s="79"/>
      <c r="F305" s="79"/>
      <c r="G305" s="79"/>
      <c r="H305" s="79"/>
      <c r="I305" s="72">
        <v>1631994</v>
      </c>
      <c r="J305" s="72"/>
      <c r="K305" s="72"/>
      <c r="L305" s="72"/>
      <c r="M305" s="72"/>
      <c r="N305" s="72" t="s">
        <v>8</v>
      </c>
      <c r="O305" s="9"/>
      <c r="P305" s="10"/>
      <c r="Q305" s="9"/>
      <c r="R305" s="9"/>
      <c r="S305" s="9"/>
    </row>
    <row r="306" spans="1:19" ht="12.75">
      <c r="A306" s="78" t="s">
        <v>175</v>
      </c>
      <c r="B306" s="79"/>
      <c r="C306" s="79"/>
      <c r="D306" s="79"/>
      <c r="E306" s="79"/>
      <c r="F306" s="79"/>
      <c r="G306" s="79"/>
      <c r="H306" s="79"/>
      <c r="I306" s="72"/>
      <c r="J306" s="72"/>
      <c r="K306" s="72"/>
      <c r="L306" s="72"/>
      <c r="M306" s="72"/>
      <c r="N306" s="72"/>
      <c r="O306" s="9"/>
      <c r="P306" s="10"/>
      <c r="Q306" s="9"/>
      <c r="R306" s="9"/>
      <c r="S306" s="9"/>
    </row>
    <row r="307" spans="1:19" ht="12.75">
      <c r="A307" s="78" t="s">
        <v>421</v>
      </c>
      <c r="B307" s="79"/>
      <c r="C307" s="79"/>
      <c r="D307" s="79"/>
      <c r="E307" s="79"/>
      <c r="F307" s="79"/>
      <c r="G307" s="79"/>
      <c r="H307" s="79"/>
      <c r="I307" s="72">
        <v>821580</v>
      </c>
      <c r="J307" s="72"/>
      <c r="K307" s="72"/>
      <c r="L307" s="72"/>
      <c r="M307" s="72"/>
      <c r="N307" s="72"/>
      <c r="O307" s="9"/>
      <c r="P307" s="10"/>
      <c r="Q307" s="9"/>
      <c r="R307" s="9"/>
      <c r="S307" s="9"/>
    </row>
    <row r="308" spans="1:19" ht="12.75">
      <c r="A308" s="78" t="s">
        <v>176</v>
      </c>
      <c r="B308" s="79"/>
      <c r="C308" s="79"/>
      <c r="D308" s="79"/>
      <c r="E308" s="79"/>
      <c r="F308" s="79"/>
      <c r="G308" s="79"/>
      <c r="H308" s="79"/>
      <c r="I308" s="72">
        <v>123961</v>
      </c>
      <c r="J308" s="72"/>
      <c r="K308" s="72"/>
      <c r="L308" s="72"/>
      <c r="M308" s="72"/>
      <c r="N308" s="72"/>
      <c r="O308" s="9"/>
      <c r="P308" s="10"/>
      <c r="Q308" s="9"/>
      <c r="R308" s="9"/>
      <c r="S308" s="9"/>
    </row>
    <row r="309" spans="1:19" ht="12.75">
      <c r="A309" s="78" t="s">
        <v>177</v>
      </c>
      <c r="B309" s="79"/>
      <c r="C309" s="79"/>
      <c r="D309" s="79"/>
      <c r="E309" s="79"/>
      <c r="F309" s="79"/>
      <c r="G309" s="79"/>
      <c r="H309" s="79"/>
      <c r="I309" s="72">
        <v>303660</v>
      </c>
      <c r="J309" s="72"/>
      <c r="K309" s="72"/>
      <c r="L309" s="72"/>
      <c r="M309" s="72"/>
      <c r="N309" s="72"/>
      <c r="O309" s="9"/>
      <c r="P309" s="10"/>
      <c r="Q309" s="9"/>
      <c r="R309" s="9"/>
      <c r="S309" s="9"/>
    </row>
    <row r="310" spans="1:19" ht="12.75">
      <c r="A310" s="78" t="s">
        <v>178</v>
      </c>
      <c r="B310" s="79"/>
      <c r="C310" s="79"/>
      <c r="D310" s="79"/>
      <c r="E310" s="79"/>
      <c r="F310" s="79"/>
      <c r="G310" s="79"/>
      <c r="H310" s="79"/>
      <c r="I310" s="72">
        <v>251261</v>
      </c>
      <c r="J310" s="72"/>
      <c r="K310" s="72"/>
      <c r="L310" s="72"/>
      <c r="M310" s="72"/>
      <c r="N310" s="72"/>
      <c r="O310" s="9"/>
      <c r="P310" s="10"/>
      <c r="Q310" s="9"/>
      <c r="R310" s="9"/>
      <c r="S310" s="9"/>
    </row>
    <row r="311" spans="1:19" ht="12.75">
      <c r="A311" s="78" t="s">
        <v>179</v>
      </c>
      <c r="B311" s="79"/>
      <c r="C311" s="79"/>
      <c r="D311" s="79"/>
      <c r="E311" s="79"/>
      <c r="F311" s="79"/>
      <c r="G311" s="79"/>
      <c r="H311" s="79"/>
      <c r="I311" s="72">
        <v>140527</v>
      </c>
      <c r="J311" s="72"/>
      <c r="K311" s="72"/>
      <c r="L311" s="72"/>
      <c r="M311" s="72"/>
      <c r="N311" s="72"/>
      <c r="O311" s="9"/>
      <c r="P311" s="10"/>
      <c r="Q311" s="9"/>
      <c r="R311" s="9"/>
      <c r="S311" s="9"/>
    </row>
    <row r="312" spans="1:19" ht="22.5">
      <c r="A312" s="76" t="s">
        <v>26</v>
      </c>
      <c r="B312" s="77"/>
      <c r="C312" s="77"/>
      <c r="D312" s="77"/>
      <c r="E312" s="77"/>
      <c r="F312" s="77"/>
      <c r="G312" s="77"/>
      <c r="H312" s="77"/>
      <c r="I312" s="72">
        <f>I305</f>
        <v>1631994</v>
      </c>
      <c r="J312" s="72"/>
      <c r="K312" s="72"/>
      <c r="L312" s="72"/>
      <c r="M312" s="72"/>
      <c r="N312" s="72" t="s">
        <v>8</v>
      </c>
      <c r="O312" s="9"/>
      <c r="P312" s="10"/>
      <c r="Q312" s="9"/>
      <c r="R312" s="9"/>
      <c r="S312" s="9"/>
    </row>
    <row r="313" spans="1:19" ht="12.75">
      <c r="A313" s="105" t="s">
        <v>675</v>
      </c>
      <c r="B313" s="105"/>
      <c r="C313" s="105"/>
      <c r="D313" s="105"/>
      <c r="E313" s="105"/>
      <c r="F313" s="105"/>
      <c r="G313" s="105"/>
      <c r="H313" s="105"/>
      <c r="I313" s="75">
        <f>I312*0.804064965</f>
        <v>1312229.2</v>
      </c>
      <c r="J313" s="63"/>
      <c r="K313" s="63"/>
      <c r="L313" s="63"/>
      <c r="M313" s="63"/>
      <c r="N313" s="74"/>
      <c r="O313" s="7"/>
      <c r="P313" s="7"/>
      <c r="Q313" s="7"/>
      <c r="R313" s="7"/>
      <c r="S313" s="7"/>
    </row>
    <row r="314" spans="1:19" ht="12.75">
      <c r="A314" s="105" t="s">
        <v>671</v>
      </c>
      <c r="B314" s="105"/>
      <c r="C314" s="105"/>
      <c r="D314" s="105"/>
      <c r="E314" s="105"/>
      <c r="F314" s="105"/>
      <c r="G314" s="105"/>
      <c r="H314" s="105"/>
      <c r="I314" s="75">
        <f>I313*0.18-0.01</f>
        <v>236201.25</v>
      </c>
      <c r="J314" s="63"/>
      <c r="K314" s="63"/>
      <c r="L314" s="63"/>
      <c r="M314" s="63"/>
      <c r="N314" s="74"/>
      <c r="O314" s="7"/>
      <c r="P314" s="7"/>
      <c r="Q314" s="7"/>
      <c r="R314" s="7"/>
      <c r="S314" s="7"/>
    </row>
    <row r="315" spans="1:19" ht="12.75">
      <c r="A315" s="106" t="s">
        <v>672</v>
      </c>
      <c r="B315" s="106"/>
      <c r="C315" s="106"/>
      <c r="D315" s="106"/>
      <c r="E315" s="106"/>
      <c r="F315" s="106"/>
      <c r="G315" s="106"/>
      <c r="H315" s="106"/>
      <c r="I315" s="75">
        <f>I313+I314</f>
        <v>1548430.45</v>
      </c>
      <c r="J315" s="63"/>
      <c r="K315" s="63"/>
      <c r="L315" s="63"/>
      <c r="M315" s="63"/>
      <c r="N315" s="74"/>
      <c r="O315" s="7"/>
      <c r="P315" s="7"/>
      <c r="Q315" s="7"/>
      <c r="R315" s="7"/>
      <c r="S315" s="7"/>
    </row>
    <row r="316" spans="1:19" ht="12.75">
      <c r="A316" s="46"/>
      <c r="B316" s="46"/>
      <c r="C316" s="46"/>
      <c r="D316" s="46"/>
      <c r="E316" s="46"/>
      <c r="F316" s="46"/>
      <c r="G316" s="46"/>
      <c r="H316" s="46"/>
      <c r="I316" s="45"/>
      <c r="J316" s="44"/>
      <c r="K316" s="44"/>
      <c r="L316" s="44"/>
      <c r="M316" s="44"/>
      <c r="N316" s="73"/>
      <c r="O316" s="7"/>
      <c r="P316" s="7"/>
      <c r="Q316" s="7"/>
      <c r="R316" s="7"/>
      <c r="S316" s="7"/>
    </row>
    <row r="317" spans="1:14" ht="12.75">
      <c r="A317" s="43"/>
      <c r="B317" s="46"/>
      <c r="C317" s="46"/>
      <c r="D317" s="43"/>
      <c r="E317" s="44"/>
      <c r="F317" s="44"/>
      <c r="G317" s="44"/>
      <c r="H317" s="44"/>
      <c r="I317" s="45"/>
      <c r="J317" s="44"/>
      <c r="K317" s="44"/>
      <c r="L317" s="44"/>
      <c r="M317" s="44"/>
      <c r="N317" s="47"/>
    </row>
    <row r="318" spans="1:14" ht="12.75">
      <c r="A318" s="43"/>
      <c r="B318" s="46"/>
      <c r="C318" s="48" t="s">
        <v>674</v>
      </c>
      <c r="D318" s="43"/>
      <c r="E318" s="44"/>
      <c r="F318" s="48" t="s">
        <v>673</v>
      </c>
      <c r="G318" s="48"/>
      <c r="H318" s="48"/>
      <c r="I318" s="44"/>
      <c r="J318" s="44"/>
      <c r="K318" s="44"/>
      <c r="L318" s="44"/>
      <c r="M318" s="44"/>
      <c r="N318" s="47"/>
    </row>
    <row r="319" spans="1:14" ht="12.75">
      <c r="A319" s="49"/>
      <c r="B319" s="49"/>
      <c r="C319" s="49"/>
      <c r="D319" s="49"/>
      <c r="E319" s="50"/>
      <c r="F319" s="50"/>
      <c r="G319" s="50"/>
      <c r="H319" s="50"/>
      <c r="I319" s="50"/>
      <c r="J319" s="50"/>
      <c r="K319" s="50"/>
      <c r="L319" s="50"/>
      <c r="M319" s="50"/>
      <c r="N319" s="47"/>
    </row>
    <row r="320" spans="1:14" ht="12.75">
      <c r="A320" s="49"/>
      <c r="B320" s="49"/>
      <c r="C320" s="49"/>
      <c r="D320" s="49"/>
      <c r="E320" s="50"/>
      <c r="F320" s="50"/>
      <c r="G320" s="50"/>
      <c r="H320" s="50"/>
      <c r="I320" s="50"/>
      <c r="J320" s="50"/>
      <c r="K320" s="50"/>
      <c r="L320" s="50"/>
      <c r="M320" s="50"/>
      <c r="N320" s="47"/>
    </row>
    <row r="321" ht="12.75"/>
    <row r="322" ht="12.75">
      <c r="B322" s="6"/>
    </row>
    <row r="323" ht="12.75">
      <c r="I323" s="110"/>
    </row>
    <row r="324" ht="12.75">
      <c r="I324" s="111"/>
    </row>
    <row r="325" ht="12.75">
      <c r="I325" s="110"/>
    </row>
    <row r="326" ht="12.75">
      <c r="I326" s="110"/>
    </row>
    <row r="327" ht="12.75">
      <c r="I327" s="110"/>
    </row>
  </sheetData>
  <sheetProtection/>
  <mergeCells count="230">
    <mergeCell ref="A313:H313"/>
    <mergeCell ref="A314:H314"/>
    <mergeCell ref="A315:H315"/>
    <mergeCell ref="C11:E11"/>
    <mergeCell ref="D12:E12"/>
    <mergeCell ref="G17:G18"/>
    <mergeCell ref="A35:H35"/>
    <mergeCell ref="A36:H36"/>
    <mergeCell ref="A37:H37"/>
    <mergeCell ref="A38:H38"/>
    <mergeCell ref="M15:N16"/>
    <mergeCell ref="E15:G16"/>
    <mergeCell ref="I15:L16"/>
    <mergeCell ref="M17:M18"/>
    <mergeCell ref="H15:H18"/>
    <mergeCell ref="I17:I18"/>
    <mergeCell ref="A4:C4"/>
    <mergeCell ref="I4:N4"/>
    <mergeCell ref="J17:J18"/>
    <mergeCell ref="L17:L18"/>
    <mergeCell ref="N17:N18"/>
    <mergeCell ref="A15:A18"/>
    <mergeCell ref="D15:D18"/>
    <mergeCell ref="C15:C18"/>
    <mergeCell ref="B15:B18"/>
    <mergeCell ref="A10:N10"/>
    <mergeCell ref="A20:AI20"/>
    <mergeCell ref="A29:AI29"/>
    <mergeCell ref="A33:H33"/>
    <mergeCell ref="A34:H34"/>
    <mergeCell ref="A43:H43"/>
    <mergeCell ref="A44:H44"/>
    <mergeCell ref="A45:H45"/>
    <mergeCell ref="A46:H46"/>
    <mergeCell ref="A39:H39"/>
    <mergeCell ref="A40:H40"/>
    <mergeCell ref="A41:H41"/>
    <mergeCell ref="A42:H42"/>
    <mergeCell ref="A51:H51"/>
    <mergeCell ref="A52:H52"/>
    <mergeCell ref="A53:H53"/>
    <mergeCell ref="A54:H54"/>
    <mergeCell ref="A47:H47"/>
    <mergeCell ref="A48:H48"/>
    <mergeCell ref="A49:H49"/>
    <mergeCell ref="A50:H50"/>
    <mergeCell ref="A59:H59"/>
    <mergeCell ref="A60:H60"/>
    <mergeCell ref="A61:H61"/>
    <mergeCell ref="A62:H62"/>
    <mergeCell ref="A55:H55"/>
    <mergeCell ref="A56:H56"/>
    <mergeCell ref="A57:H57"/>
    <mergeCell ref="A58:H58"/>
    <mergeCell ref="A89:AI89"/>
    <mergeCell ref="A95:AI95"/>
    <mergeCell ref="A99:AI99"/>
    <mergeCell ref="A102:AI102"/>
    <mergeCell ref="A63:AI63"/>
    <mergeCell ref="A70:AI70"/>
    <mergeCell ref="A74:AI74"/>
    <mergeCell ref="A84:AI84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16:H116"/>
    <mergeCell ref="A117:H117"/>
    <mergeCell ref="A118:H118"/>
    <mergeCell ref="A119:H119"/>
    <mergeCell ref="A112:H112"/>
    <mergeCell ref="A113:H113"/>
    <mergeCell ref="A114:H114"/>
    <mergeCell ref="A115:H115"/>
    <mergeCell ref="A124:H124"/>
    <mergeCell ref="A125:H125"/>
    <mergeCell ref="A126:H126"/>
    <mergeCell ref="A127:H127"/>
    <mergeCell ref="A120:H120"/>
    <mergeCell ref="A121:H121"/>
    <mergeCell ref="A122:H122"/>
    <mergeCell ref="A123:H123"/>
    <mergeCell ref="A132:H132"/>
    <mergeCell ref="A133:H133"/>
    <mergeCell ref="A134:H134"/>
    <mergeCell ref="A135:H135"/>
    <mergeCell ref="A128:H128"/>
    <mergeCell ref="A129:H129"/>
    <mergeCell ref="A130:H130"/>
    <mergeCell ref="A131:H131"/>
    <mergeCell ref="A151:H151"/>
    <mergeCell ref="A152:H152"/>
    <mergeCell ref="A153:H153"/>
    <mergeCell ref="A154:H154"/>
    <mergeCell ref="A136:AI136"/>
    <mergeCell ref="A148:H148"/>
    <mergeCell ref="A149:H149"/>
    <mergeCell ref="A150:H150"/>
    <mergeCell ref="A159:H159"/>
    <mergeCell ref="A160:H160"/>
    <mergeCell ref="A161:H161"/>
    <mergeCell ref="A162:H162"/>
    <mergeCell ref="A155:H155"/>
    <mergeCell ref="A156:H156"/>
    <mergeCell ref="A157:H157"/>
    <mergeCell ref="A158:H158"/>
    <mergeCell ref="A167:H167"/>
    <mergeCell ref="A168:H168"/>
    <mergeCell ref="A169:H169"/>
    <mergeCell ref="A170:H170"/>
    <mergeCell ref="A163:H163"/>
    <mergeCell ref="A164:H164"/>
    <mergeCell ref="A165:H165"/>
    <mergeCell ref="A166:H166"/>
    <mergeCell ref="A182:H182"/>
    <mergeCell ref="A183:H183"/>
    <mergeCell ref="A184:H184"/>
    <mergeCell ref="A185:H185"/>
    <mergeCell ref="A171:H171"/>
    <mergeCell ref="A172:AI172"/>
    <mergeCell ref="A180:H180"/>
    <mergeCell ref="A181:H181"/>
    <mergeCell ref="A190:H190"/>
    <mergeCell ref="A191:H191"/>
    <mergeCell ref="A192:H192"/>
    <mergeCell ref="A193:H193"/>
    <mergeCell ref="A186:H186"/>
    <mergeCell ref="A187:H187"/>
    <mergeCell ref="A188:H188"/>
    <mergeCell ref="A189:H189"/>
    <mergeCell ref="A198:H198"/>
    <mergeCell ref="A199:H199"/>
    <mergeCell ref="A200:H200"/>
    <mergeCell ref="A201:H201"/>
    <mergeCell ref="A194:H194"/>
    <mergeCell ref="A195:H195"/>
    <mergeCell ref="A196:H196"/>
    <mergeCell ref="A197:H197"/>
    <mergeCell ref="A224:H224"/>
    <mergeCell ref="A225:H225"/>
    <mergeCell ref="A226:H226"/>
    <mergeCell ref="A227:H227"/>
    <mergeCell ref="A202:H202"/>
    <mergeCell ref="A203:H203"/>
    <mergeCell ref="A204:AI204"/>
    <mergeCell ref="A223:H223"/>
    <mergeCell ref="A232:H232"/>
    <mergeCell ref="A233:H233"/>
    <mergeCell ref="A234:H234"/>
    <mergeCell ref="A235:H235"/>
    <mergeCell ref="A228:H228"/>
    <mergeCell ref="A229:H229"/>
    <mergeCell ref="A230:H230"/>
    <mergeCell ref="A231:H231"/>
    <mergeCell ref="A240:H240"/>
    <mergeCell ref="A241:H241"/>
    <mergeCell ref="A242:H242"/>
    <mergeCell ref="A243:H243"/>
    <mergeCell ref="A236:H236"/>
    <mergeCell ref="A237:H237"/>
    <mergeCell ref="A238:H238"/>
    <mergeCell ref="A239:H239"/>
    <mergeCell ref="A248:H248"/>
    <mergeCell ref="A249:H249"/>
    <mergeCell ref="A250:H250"/>
    <mergeCell ref="A251:H251"/>
    <mergeCell ref="A244:H244"/>
    <mergeCell ref="A245:H245"/>
    <mergeCell ref="A246:H246"/>
    <mergeCell ref="A247:H247"/>
    <mergeCell ref="A256:H256"/>
    <mergeCell ref="A257:H257"/>
    <mergeCell ref="A258:H258"/>
    <mergeCell ref="A259:AI259"/>
    <mergeCell ref="A252:H252"/>
    <mergeCell ref="A253:H253"/>
    <mergeCell ref="A254:H254"/>
    <mergeCell ref="A255:H255"/>
    <mergeCell ref="A269:H269"/>
    <mergeCell ref="A270:H270"/>
    <mergeCell ref="A271:H271"/>
    <mergeCell ref="A272:H272"/>
    <mergeCell ref="A265:H265"/>
    <mergeCell ref="A266:H266"/>
    <mergeCell ref="A267:H267"/>
    <mergeCell ref="A268:H268"/>
    <mergeCell ref="A277:H277"/>
    <mergeCell ref="A278:H278"/>
    <mergeCell ref="A279:H279"/>
    <mergeCell ref="A280:H280"/>
    <mergeCell ref="A273:H273"/>
    <mergeCell ref="A274:H274"/>
    <mergeCell ref="A275:H275"/>
    <mergeCell ref="A276:H276"/>
    <mergeCell ref="A285:H285"/>
    <mergeCell ref="A286:H286"/>
    <mergeCell ref="A287:H287"/>
    <mergeCell ref="A288:H288"/>
    <mergeCell ref="A281:H281"/>
    <mergeCell ref="A282:H282"/>
    <mergeCell ref="A283:H283"/>
    <mergeCell ref="A284:H284"/>
    <mergeCell ref="A293:H293"/>
    <mergeCell ref="A294:H294"/>
    <mergeCell ref="A295:H295"/>
    <mergeCell ref="A296:H296"/>
    <mergeCell ref="A289:H289"/>
    <mergeCell ref="A290:H290"/>
    <mergeCell ref="A291:H291"/>
    <mergeCell ref="A292:H292"/>
    <mergeCell ref="A301:H301"/>
    <mergeCell ref="A302:H302"/>
    <mergeCell ref="A303:H303"/>
    <mergeCell ref="A304:H304"/>
    <mergeCell ref="A297:H297"/>
    <mergeCell ref="A298:H298"/>
    <mergeCell ref="A299:H299"/>
    <mergeCell ref="A300:H300"/>
    <mergeCell ref="A312:H312"/>
    <mergeCell ref="A309:H309"/>
    <mergeCell ref="A310:H310"/>
    <mergeCell ref="A311:H311"/>
    <mergeCell ref="A305:H305"/>
    <mergeCell ref="A306:H306"/>
    <mergeCell ref="A307:H307"/>
    <mergeCell ref="A308:H308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7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2014-09-25T10:39:59Z</cp:lastPrinted>
  <dcterms:created xsi:type="dcterms:W3CDTF">2003-01-28T12:33:10Z</dcterms:created>
  <dcterms:modified xsi:type="dcterms:W3CDTF">2014-10-07T04:03:25Z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